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ld.tessier\Documents\Initial Proposals\"/>
    </mc:Choice>
  </mc:AlternateContent>
  <bookViews>
    <workbookView xWindow="-15060" yWindow="1560" windowWidth="15180" windowHeight="4910" tabRatio="731"/>
  </bookViews>
  <sheets>
    <sheet name="REGIONS" sheetId="2" r:id="rId1"/>
    <sheet name="CONSTITUENCIES" sheetId="3" r:id="rId2"/>
    <sheet name="&quot;AVON&quot;" sheetId="17" r:id="rId3"/>
    <sheet name="BARKING" sheetId="102" r:id="rId4"/>
    <sheet name="BARNET" sheetId="103" r:id="rId5"/>
    <sheet name="BEDFORDSHIRE" sheetId="94" r:id="rId6"/>
    <sheet name="&quot;BERKSHIRE&quot;" sheetId="150" r:id="rId7"/>
    <sheet name="BEXLEY" sheetId="104" r:id="rId8"/>
    <sheet name="BRENT" sheetId="105" r:id="rId9"/>
    <sheet name="BROMLEY" sheetId="106" r:id="rId10"/>
    <sheet name="BUCKINGHAMSHIRE" sheetId="151" r:id="rId11"/>
    <sheet name="CAMBRIDGESHIRE" sheetId="95" r:id="rId12"/>
    <sheet name="CAMDEN" sheetId="107" r:id="rId13"/>
    <sheet name="CHESHIRE" sheetId="143" r:id="rId14"/>
    <sheet name="CITY OF LONDON" sheetId="108" r:id="rId15"/>
    <sheet name="&quot;CLEVELAND&quot;" sheetId="88" r:id="rId16"/>
    <sheet name="CORNWALL" sheetId="23" r:id="rId17"/>
    <sheet name="CROYDON" sheetId="109" r:id="rId18"/>
    <sheet name="CUMBRIA" sheetId="144" r:id="rId19"/>
    <sheet name="DERBYSHIRE" sheetId="81" r:id="rId20"/>
    <sheet name="DEVON" sheetId="27" r:id="rId21"/>
    <sheet name="DORSET" sheetId="33" r:id="rId22"/>
    <sheet name="DURHAM" sheetId="89" r:id="rId23"/>
    <sheet name="EALING" sheetId="110" r:id="rId24"/>
    <sheet name="EAST SUSSEX" sheetId="152" r:id="rId25"/>
    <sheet name="ENFIELD" sheetId="111" r:id="rId26"/>
    <sheet name="ESSEX" sheetId="96" r:id="rId27"/>
    <sheet name="GLOUCESTERSHIRE" sheetId="28" r:id="rId28"/>
    <sheet name="GREATER MANCHESTER" sheetId="145" r:id="rId29"/>
    <sheet name="GREENWICH" sheetId="112" r:id="rId30"/>
    <sheet name="HACKNEY" sheetId="113" r:id="rId31"/>
    <sheet name="HAMMERSMITH" sheetId="114" r:id="rId32"/>
    <sheet name="HAMPSHIRE" sheetId="153" r:id="rId33"/>
    <sheet name="HARINGEY" sheetId="115" r:id="rId34"/>
    <sheet name="HARROW" sheetId="116" r:id="rId35"/>
    <sheet name="HAVERING" sheetId="117" r:id="rId36"/>
    <sheet name="HEREFORDSHIRE" sheetId="73" r:id="rId37"/>
    <sheet name="HERTFORDSHIRE" sheetId="97" r:id="rId38"/>
    <sheet name="HILLINGDON" sheetId="118" r:id="rId39"/>
    <sheet name="HOUNSLOW" sheetId="119" r:id="rId40"/>
    <sheet name="&quot;HUMBERSIDE&quot;" sheetId="137" r:id="rId41"/>
    <sheet name="ISLE OF WIGHT" sheetId="154" r:id="rId42"/>
    <sheet name="ISLINGTON" sheetId="120" r:id="rId43"/>
    <sheet name="KENSINGTON" sheetId="121" r:id="rId44"/>
    <sheet name="KENT" sheetId="155" r:id="rId45"/>
    <sheet name="KINGSTON" sheetId="122" r:id="rId46"/>
    <sheet name="LAMBETH" sheetId="123" r:id="rId47"/>
    <sheet name="LANCASHIRE" sheetId="146" r:id="rId48"/>
    <sheet name="LEICESTERSHIRE" sheetId="82" r:id="rId49"/>
    <sheet name="LEWISHAM" sheetId="124" r:id="rId50"/>
    <sheet name="LINCOLNSHIRE" sheetId="83" r:id="rId51"/>
    <sheet name="MERSEYSIDE" sheetId="147" r:id="rId52"/>
    <sheet name="MERTON" sheetId="125" r:id="rId53"/>
    <sheet name="NEWHAM" sheetId="126" r:id="rId54"/>
    <sheet name="NORFOLK" sheetId="98" r:id="rId55"/>
    <sheet name="NORTH YORKSHIRE" sheetId="138" r:id="rId56"/>
    <sheet name="NORTHAMPTONSHIRE" sheetId="84" r:id="rId57"/>
    <sheet name="NORTHUMBERLAND" sheetId="90" r:id="rId58"/>
    <sheet name="NOTTINGHAMSHIRE" sheetId="85" r:id="rId59"/>
    <sheet name="OXFORDSHIRE" sheetId="156" r:id="rId60"/>
    <sheet name="REDBRIDGE" sheetId="127" r:id="rId61"/>
    <sheet name="RICHMOND" sheetId="128" r:id="rId62"/>
    <sheet name="SHROPSHIRE &amp; TELFORD &amp; WREKIN " sheetId="74" r:id="rId63"/>
    <sheet name="SOMERSET" sheetId="70" r:id="rId64"/>
    <sheet name="SOUTH YORKSHIRE" sheetId="139" r:id="rId65"/>
    <sheet name="SOUTHWARK" sheetId="129" r:id="rId66"/>
    <sheet name="STAFFORDSHIRE" sheetId="75" r:id="rId67"/>
    <sheet name="SUFFOLK" sheetId="99" r:id="rId68"/>
    <sheet name="SURREY" sheetId="157" r:id="rId69"/>
    <sheet name="SUTTON" sheetId="130" r:id="rId70"/>
    <sheet name="TOWER HAMLETS" sheetId="131" r:id="rId71"/>
    <sheet name="TYNE &amp; WEAR" sheetId="91" r:id="rId72"/>
    <sheet name="WALTHAM FOREST" sheetId="132" r:id="rId73"/>
    <sheet name="WANDSWORTH" sheetId="133" r:id="rId74"/>
    <sheet name="WARWICKSHIRE" sheetId="76" r:id="rId75"/>
    <sheet name="WEST MIDLANDS" sheetId="77" r:id="rId76"/>
    <sheet name="WEST SUSSEX" sheetId="158" r:id="rId77"/>
    <sheet name="WEST YORKSHIRE" sheetId="140" r:id="rId78"/>
    <sheet name="WESTMINSTER" sheetId="134" r:id="rId79"/>
    <sheet name="WILTSHIRE" sheetId="61" r:id="rId80"/>
    <sheet name="WORCESTERSHIRE" sheetId="78" r:id="rId81"/>
  </sheets>
  <definedNames>
    <definedName name="_Regression_Int" localSheetId="2" hidden="1">1</definedName>
    <definedName name="_Regression_Int" localSheetId="6" hidden="1">1</definedName>
    <definedName name="_Regression_Int" localSheetId="15" hidden="1">1</definedName>
    <definedName name="_Regression_Int" localSheetId="40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Regression_Int" localSheetId="26" hidden="1">1</definedName>
    <definedName name="_Regression_Int" localSheetId="27" hidden="1">1</definedName>
    <definedName name="_Regression_Int" localSheetId="28" hidden="1">1</definedName>
    <definedName name="_Regression_Int" localSheetId="29" hidden="1">1</definedName>
    <definedName name="_Regression_Int" localSheetId="30" hidden="1">1</definedName>
    <definedName name="_Regression_Int" localSheetId="31" hidden="1">1</definedName>
    <definedName name="_Regression_Int" localSheetId="32" hidden="1">1</definedName>
    <definedName name="_Regression_Int" localSheetId="33" hidden="1">1</definedName>
    <definedName name="_Regression_Int" localSheetId="34" hidden="1">1</definedName>
    <definedName name="_Regression_Int" localSheetId="35" hidden="1">1</definedName>
    <definedName name="_Regression_Int" localSheetId="36" hidden="1">1</definedName>
    <definedName name="_Regression_Int" localSheetId="37" hidden="1">1</definedName>
    <definedName name="_Regression_Int" localSheetId="38" hidden="1">1</definedName>
    <definedName name="_Regression_Int" localSheetId="39" hidden="1">1</definedName>
    <definedName name="_Regression_Int" localSheetId="41" hidden="1">1</definedName>
    <definedName name="_Regression_Int" localSheetId="42" hidden="1">1</definedName>
    <definedName name="_Regression_Int" localSheetId="43" hidden="1">1</definedName>
    <definedName name="_Regression_Int" localSheetId="44" hidden="1">1</definedName>
    <definedName name="_Regression_Int" localSheetId="45" hidden="1">1</definedName>
    <definedName name="_Regression_Int" localSheetId="46" hidden="1">1</definedName>
    <definedName name="_Regression_Int" localSheetId="47" hidden="1">1</definedName>
    <definedName name="_Regression_Int" localSheetId="48" hidden="1">1</definedName>
    <definedName name="_Regression_Int" localSheetId="49" hidden="1">1</definedName>
    <definedName name="_Regression_Int" localSheetId="50" hidden="1">1</definedName>
    <definedName name="_Regression_Int" localSheetId="51" hidden="1">1</definedName>
    <definedName name="_Regression_Int" localSheetId="52" hidden="1">1</definedName>
    <definedName name="_Regression_Int" localSheetId="53" hidden="1">1</definedName>
    <definedName name="_Regression_Int" localSheetId="54" hidden="1">1</definedName>
    <definedName name="_Regression_Int" localSheetId="55" hidden="1">1</definedName>
    <definedName name="_Regression_Int" localSheetId="56" hidden="1">1</definedName>
    <definedName name="_Regression_Int" localSheetId="57" hidden="1">1</definedName>
    <definedName name="_Regression_Int" localSheetId="58" hidden="1">1</definedName>
    <definedName name="_Regression_Int" localSheetId="59" hidden="1">1</definedName>
    <definedName name="_Regression_Int" localSheetId="60" hidden="1">1</definedName>
    <definedName name="_Regression_Int" localSheetId="0" hidden="1">1</definedName>
    <definedName name="_Regression_Int" localSheetId="61" hidden="1">1</definedName>
    <definedName name="_Regression_Int" localSheetId="62" hidden="1">1</definedName>
    <definedName name="_Regression_Int" localSheetId="63" hidden="1">1</definedName>
    <definedName name="_Regression_Int" localSheetId="64" hidden="1">1</definedName>
    <definedName name="_Regression_Int" localSheetId="65" hidden="1">1</definedName>
    <definedName name="_Regression_Int" localSheetId="66" hidden="1">1</definedName>
    <definedName name="_Regression_Int" localSheetId="67" hidden="1">1</definedName>
    <definedName name="_Regression_Int" localSheetId="68" hidden="1">1</definedName>
    <definedName name="_Regression_Int" localSheetId="69" hidden="1">1</definedName>
    <definedName name="_Regression_Int" localSheetId="70" hidden="1">1</definedName>
    <definedName name="_Regression_Int" localSheetId="71" hidden="1">1</definedName>
    <definedName name="_Regression_Int" localSheetId="72" hidden="1">1</definedName>
    <definedName name="_Regression_Int" localSheetId="73" hidden="1">1</definedName>
    <definedName name="_Regression_Int" localSheetId="74" hidden="1">1</definedName>
    <definedName name="_Regression_Int" localSheetId="75" hidden="1">1</definedName>
    <definedName name="_Regression_Int" localSheetId="76" hidden="1">1</definedName>
    <definedName name="_Regression_Int" localSheetId="77" hidden="1">1</definedName>
    <definedName name="_Regression_Int" localSheetId="78" hidden="1">1</definedName>
    <definedName name="_Regression_Int" localSheetId="79" hidden="1">1</definedName>
    <definedName name="_Regression_Int" localSheetId="80" hidden="1">1</definedName>
    <definedName name="_xlnm.Print_Area" localSheetId="2">'"AVON"'!$A$1:$F$93,'"AVON"'!#REF!,'"AVON"'!$A$94:$F$135,'"AVON"'!#REF!,'"AVON"'!#REF!</definedName>
    <definedName name="_xlnm.Print_Area" localSheetId="6">'"BERKSHIRE"'!$A$1:$F$42,'"BERKSHIRE"'!$A$45:$F$70,'"BERKSHIRE"'!$A$73:$F$96,'"BERKSHIRE"'!$A$99:$F$121,'"BERKSHIRE"'!$A$124:$F$162,'"BERKSHIRE"'!$A$165:$F$195,'"BERKSHIRE"'!$A$198:$F$232</definedName>
    <definedName name="_xlnm.Print_Area" localSheetId="15">'"CLEVELAND"'!$A$1:$F$55,'"CLEVELAND"'!#REF!,'"CLEVELAND"'!$A$57:$F$85,'"CLEVELAND"'!$A$88:$F$117,'"CLEVELAND"'!$A$120:$F$122</definedName>
    <definedName name="_xlnm.Print_Area" localSheetId="40">'"HUMBERSIDE"'!$A$1:$F$35,'"HUMBERSIDE"'!$A$38:$F$73,'"HUMBERSIDE"'!$A$76:$F$107,'"HUMBERSIDE"'!$A$110:$F$132,'"HUMBERSIDE"'!$A$135:$F$160</definedName>
    <definedName name="_xlnm.Print_Area" localSheetId="3">BARKING!$A$1:$F$38</definedName>
    <definedName name="_xlnm.Print_Area" localSheetId="4">BARNET!$A$1:$F$43</definedName>
    <definedName name="_xlnm.Print_Area" localSheetId="5">BEDFORDSHIRE!$A$1:$F$31,BEDFORDSHIRE!$A$34:$F$69,BEDFORDSHIRE!$A$72:$F$142</definedName>
    <definedName name="_xlnm.Print_Area" localSheetId="7">BEXLEY!$A$1:$F$38</definedName>
    <definedName name="_xlnm.Print_Area" localSheetId="8">BRENT!$A$1:$F$46</definedName>
    <definedName name="_xlnm.Print_Area" localSheetId="9">BROMLEY!$A$1:$F$43</definedName>
    <definedName name="_xlnm.Print_Area" localSheetId="10">BUCKINGHAMSHIRE!$A$1:$F$205</definedName>
    <definedName name="_xlnm.Print_Area" localSheetId="11">CAMBRIDGESHIRE!$A$1:$F$50,CAMBRIDGESHIRE!$A$53:$F$85,CAMBRIDGESHIRE!$A$88:$F$108,CAMBRIDGESHIRE!$A$111:$F$138,CAMBRIDGESHIRE!$A$141:$F$171,CAMBRIDGESHIRE!$A$174:$F$212,CAMBRIDGESHIRE!$A$216:$F$260</definedName>
    <definedName name="_xlnm.Print_Area" localSheetId="12">CAMDEN!$A$1:$F$39</definedName>
    <definedName name="_xlnm.Print_Area" localSheetId="13">CHESHIRE!$A$1:$G$202</definedName>
    <definedName name="_xlnm.Print_Area" localSheetId="14">'CITY OF LONDON'!$A$1:$F$36</definedName>
    <definedName name="_xlnm.Print_Area" localSheetId="1">CONSTITUENCIES!$A$3:$D$518</definedName>
    <definedName name="_xlnm.Print_Area" localSheetId="16">CORNWALL!$A$1:$F$27,CORNWALL!$A$32:$F$166,CORNWALL!#REF!,CORNWALL!$A$169:$F$178,CORNWALL!#REF!,CORNWALL!$A$181:$F$183,CORNWALL!#REF!,CORNWALL!#REF!</definedName>
    <definedName name="_xlnm.Print_Area" localSheetId="17">CROYDON!$A$1:$G$50</definedName>
    <definedName name="_xlnm.Print_Area" localSheetId="18">CUMBRIA!$A$1:$F$32,CUMBRIA!$A$34:$F$72,CUMBRIA!$A$75:$F$94,CUMBRIA!$A$97:$F$125,CUMBRIA!$A$128:$F$160,CUMBRIA!$A$163:$F$200,CUMBRIA!$A$203:$F$255</definedName>
    <definedName name="_xlnm.Print_Area" localSheetId="19">DERBYSHIRE!$A$1:$F$54,DERBYSHIRE!$A$57:$F$83,DERBYSHIRE!$A$86:$F$118,DERBYSHIRE!$A$121:$F$149,DERBYSHIRE!$A$152:$F$178,DERBYSHIRE!$A$181:$F$212,DERBYSHIRE!$A$215:$F$241,DERBYSHIRE!$A$244:$F$278,DERBYSHIRE!$A$281:$F$314,DERBYSHIRE!$A$317:$F$339</definedName>
    <definedName name="_xlnm.Print_Area" localSheetId="20">DEVON!$A$1:$F$63,DEVON!$A$66:$F$94,DEVON!$A$97:$F$119,DEVON!$A$122:$F$162,DEVON!$A$165:$F$190,DEVON!$A$193:$F$225,DEVON!$A$229:$F$263,DEVON!$A$267:$F$294,DEVON!$A$297:$F$331,DEVON!$A$334:$F$364,DEVON!$A$367:$F$392</definedName>
    <definedName name="_xlnm.Print_Area" localSheetId="21">DORSET!$A$1:$F$50,DORSET!$A$53:$F$79,DORSET!$A$82:$F$105,DORSET!$A$108:$F$125,DORSET!$A$128:$F$151,DORSET!$A$154:$F$180,DORSET!$A$183:$F$203,DORSET!$A$207:$F$238,DORSET!$A$241:$F$262</definedName>
    <definedName name="_xlnm.Print_Area" localSheetId="22">DURHAM!$A$1:$F$33,DURHAM!$A$37:$F$63,DURHAM!$A$66:$F$84,DURHAM!$A$87:$F$102,DURHAM!$A$103:$F$124,DURHAM!$A$125:$F$131,DURHAM!#REF!,DURHAM!#REF!,DURHAM!$A$132:$F$138</definedName>
    <definedName name="_xlnm.Print_Area" localSheetId="23">EALING!$A$1:$F$49</definedName>
    <definedName name="_xlnm.Print_Area" localSheetId="24">'EAST SUSSEX'!$A$1:$F$45,'EAST SUSSEX'!$A$48:$F$77,'EAST SUSSEX'!$A$80:$F$95,'EAST SUSSEX'!$A$98:$F$120,'EAST SUSSEX'!$A$123:$F$151,'EAST SUSSEX'!$A$154:$F$182,'EAST SUSSEX'!$A$185:$F$230</definedName>
    <definedName name="_xlnm.Print_Area" localSheetId="25">ENFIELD!$A$1:$F$46</definedName>
    <definedName name="_xlnm.Print_Area" localSheetId="26">ESSEX!$A$1:$F$83,ESSEX!$A$86:$F$110,ESSEX!$A$113:$F$140,ESSEX!$A$143:$F$168,ESSEX!$A$171:$F$205,ESSEX!$A$208:$F$230,ESSEX!$A$233:$F$254,ESSEX!$A$257:$F$292,ESSEX!$A$295:$F$296,ESSEX!$A$332:$F$373,ESSEX!$A$376:$F$393,ESSEX!$A$396:$F$420,ESSEX!$A$423:$F$449,ESSEX!$A$452:$F$494,ESSEX!$A$497:$F$526</definedName>
    <definedName name="_xlnm.Print_Area" localSheetId="27">GLOUCESTERSHIRE!$A$1:$F$40,GLOUCESTERSHIRE!$A$43:$F$70,GLOUCESTERSHIRE!$A$73:$F$111,GLOUCESTERSHIRE!$A$114:$F$147,GLOUCESTERSHIRE!$A$150:$F$172,GLOUCESTERSHIRE!$A$175:$F$214,GLOUCESTERSHIRE!$A$217:$F$247</definedName>
    <definedName name="_xlnm.Print_Area" localSheetId="28">'GREATER MANCHESTER'!$A$1:$F$93,'GREATER MANCHESTER'!$A$95:$F$123,'GREATER MANCHESTER'!$A$126:$F$151,'GREATER MANCHESTER'!$A$154:$F$197,'GREATER MANCHESTER'!$A$200:$F$228,'GREATER MANCHESTER'!$A$231:$F$259,'GREATER MANCHESTER'!$A$262:$F$290,'GREATER MANCHESTER'!$A$293:$F$323,'GREATER MANCHESTER'!$A$326:$F$354,'GREATER MANCHESTER'!$A$357:$F$386,'GREATER MANCHESTER'!$A$389:$F$423</definedName>
    <definedName name="_xlnm.Print_Area" localSheetId="29">GREENWICH!$A$1:$F$36</definedName>
    <definedName name="_xlnm.Print_Area" localSheetId="30">HACKNEY!$A$1:$F$31</definedName>
    <definedName name="_xlnm.Print_Area" localSheetId="31">HAMMERSMITH!$A$1:$F$37</definedName>
    <definedName name="_xlnm.Print_Area" localSheetId="32">HAMPSHIRE!$A$1:$H$476</definedName>
    <definedName name="_xlnm.Print_Area" localSheetId="33">HARINGEY!$A$1:$F$40</definedName>
    <definedName name="_xlnm.Print_Area" localSheetId="34">HARROW!$A$1:$F$44</definedName>
    <definedName name="_xlnm.Print_Area" localSheetId="35">HAVERING!$A$1:$F$37</definedName>
    <definedName name="_xlnm.Print_Area" localSheetId="36">HEREFORDSHIRE!$A$1:$F$76</definedName>
    <definedName name="_xlnm.Print_Area" localSheetId="37">HERTFORDSHIRE!$A$1:$F$62,HERTFORDSHIRE!$A$64:$F$80,HERTFORDSHIRE!$A$83:$F$158,HERTFORDSHIRE!$A$162:$F$183,HERTFORDSHIRE!$A$186:$F$218,HERTFORDSHIRE!$A$221:$F$250,HERTFORDSHIRE!$A$253:$F$272,HERTFORDSHIRE!$A$276:$F$299,HERTFORDSHIRE!$A$302:$F$320,HERTFORDSHIRE!$A$323:$F$348</definedName>
    <definedName name="_xlnm.Print_Area" localSheetId="38">HILLINGDON!$A$1:$F$41</definedName>
    <definedName name="_xlnm.Print_Area" localSheetId="39">HOUNSLOW!$A$1:$F$38</definedName>
    <definedName name="_xlnm.Print_Area" localSheetId="41">'ISLE OF WIGHT'!$A$1:$F$50</definedName>
    <definedName name="_xlnm.Print_Area" localSheetId="42">ISLINGTON!$A$1:$F$34</definedName>
    <definedName name="_xlnm.Print_Area" localSheetId="43">KENSINGTON!$A$1:$F$26</definedName>
    <definedName name="_xlnm.Print_Area" localSheetId="44">KENT!$A$1:$F$77,KENT!$A$80:$F$111,KENT!$A$113:$F$156,KENT!$A$158:$F$186,KENT!$A$189:$F$213,KENT!$A$215:$F$244,KENT!$A$246:$F$272,KENT!$A$274:$F$308,KENT!$A$311:$F$345,KENT!$A$349:$F$368,KENT!$A$371:$F$402,KENT!$A$405:$F$435,KENT!$A$438:$F$470,KENT!$A$473:$F$501</definedName>
    <definedName name="_xlnm.Print_Area" localSheetId="45">KINGSTON!$A$1:$F$33</definedName>
    <definedName name="_xlnm.Print_Area" localSheetId="46">LAMBETH!$A$1:$F$53</definedName>
    <definedName name="_xlnm.Print_Area" localSheetId="47">LANCASHIRE!$A$1:$F$79,LANCASHIRE!$A$82:$F$112,LANCASHIRE!$A$115:$F$143,LANCASHIRE!$A$146:$F$168,LANCASHIRE!$A$171:$F$199,LANCASHIRE!$A$202:$F$230,LANCASHIRE!$A$233:$F$255,LANCASHIRE!$A$258:$F$292,LANCASHIRE!$A$295:$F$323,LANCASHIRE!$A$326:$F$358,LANCASHIRE!$A$361:$F$392,LANCASHIRE!$A$395:$F$415,LANCASHIRE!$A$418:$F$448,LANCASHIRE!$A$451:$F$485,LANCASHIRE!$A$488:$F$521</definedName>
    <definedName name="_xlnm.Print_Area" localSheetId="48">LEICESTERSHIRE!$A$1:$F$343</definedName>
    <definedName name="_xlnm.Print_Area" localSheetId="49">LEWISHAM!$A$1:$F$37</definedName>
    <definedName name="_xlnm.Print_Area" localSheetId="50">LINCOLNSHIRE!$A$1:$F$39,LINCOLNSHIRE!$A$41:$F$62,LINCOLNSHIRE!$A$65:$F$110,LINCOLNSHIRE!$A$113:$F$130,LINCOLNSHIRE!$A$133:$F$167,LINCOLNSHIRE!$A$170:$F$194,LINCOLNSHIRE!$A$197:$F$235,LINCOLNSHIRE!$A$238:$F$265</definedName>
    <definedName name="_xlnm.Print_Area" localSheetId="51">MERSEYSIDE!$A$1:$F$50,MERSEYSIDE!$A$52:$F$81,MERSEYSIDE!$A$84:$F$124,MERSEYSIDE!$A$127:$F$150,MERSEYSIDE!$A$153:$F$183,MERSEYSIDE!$A$186:$F$217</definedName>
    <definedName name="_xlnm.Print_Area" localSheetId="52">MERTON!$A$1:$F$48</definedName>
    <definedName name="_xlnm.Print_Area" localSheetId="53">NEWHAM!$A$1:$F$38</definedName>
    <definedName name="_xlnm.Print_Area" localSheetId="54">NORFOLK!$A$1:$F$48,NORFOLK!$A$50:$F$85,NORFOLK!$A$88:$F$123,NORFOLK!$A$126:$F$149,NORFOLK!$A$152:$F$201,NORFOLK!$A$205:$F$247,NORFOLK!$A$250:$F$270,NORFOLK!$A$273:$F$319</definedName>
    <definedName name="_xlnm.Print_Area" localSheetId="55">'NORTH YORKSHIRE'!$A$1:$F$310</definedName>
    <definedName name="_xlnm.Print_Area" localSheetId="56">NORTHAMPTONSHIRE!$A$1:$F$42,NORTHAMPTONSHIRE!$A$44:$F$62,NORTHAMPTONSHIRE!$A$65:$F$88,NORTHAMPTONSHIRE!$A$91:$F$121,NORTHAMPTONSHIRE!$A$124:$F$148,NORTHAMPTONSHIRE!$A$151:$F$191,NORTHAMPTONSHIRE!$A$194:$F$229,NORTHAMPTONSHIRE!$A$231:$F$258</definedName>
    <definedName name="_xlnm.Print_Area" localSheetId="57">NORTHUMBERLAND!$A$1:$F$17,NORTHUMBERLAND!$A$20:$F$94</definedName>
    <definedName name="_xlnm.Print_Area" localSheetId="58">NOTTINGHAMSHIRE!$A$1:$F$330</definedName>
    <definedName name="_xlnm.Print_Area" localSheetId="59">OXFORDSHIRE!$A$1:$F$32,OXFORDSHIRE!$A$34:$F$70,OXFORDSHIRE!$A$73:$F$104,OXFORDSHIRE!$A$107:$F$137,OXFORDSHIRE!$A$140:$F$171,OXFORDSHIRE!$A$174:$F$207</definedName>
    <definedName name="_xlnm.Print_Area" localSheetId="60">REDBRIDGE!$A$1:$F$48</definedName>
    <definedName name="_xlnm.Print_Area" localSheetId="0">REGIONS!$A$1:$E$466</definedName>
    <definedName name="_xlnm.Print_Area" localSheetId="61">RICHMOND!$A$1:$F$35</definedName>
    <definedName name="_xlnm.Print_Area" localSheetId="62">'SHROPSHIRE &amp; TELFORD &amp; WREKIN '!$A$1:$F$28,'SHROPSHIRE &amp; TELFORD &amp; WREKIN '!$A$107:$F$144,'SHROPSHIRE &amp; TELFORD &amp; WREKIN '!$A$31:$F$103</definedName>
    <definedName name="_xlnm.Print_Area" localSheetId="63">SOMERSET!$A$1:$F$36,SOMERSET!$A$38:$F$81,SOMERSET!$A$83:$F$113,SOMERSET!$A$116:$F$162,SOMERSET!$A$165:$F$197,SOMERSET!$A$200:$F$222</definedName>
    <definedName name="_xlnm.Print_Area" localSheetId="64">'SOUTH YORKSHIRE'!$A$1:$F$55,'SOUTH YORKSHIRE'!$A$57:$F$89,'SOUTH YORKSHIRE'!$A$92:$F$121,'SOUTH YORKSHIRE'!$A$124:$F$156,'SOUTH YORKSHIRE'!$A$159:$F$198</definedName>
    <definedName name="_xlnm.Print_Area" localSheetId="65">SOUTHWARK!$A$1:$F$46</definedName>
    <definedName name="_xlnm.Print_Area" localSheetId="66">STAFFORDSHIRE!$A$1:$F$54,STAFFORDSHIRE!$A$57:$F$102,STAFFORDSHIRE!$A$105:$F$126,STAFFORDSHIRE!$A$129:$F$157,STAFFORDSHIRE!$A$160:$F$189,STAFFORDSHIRE!$A$192:$F$223,STAFFORDSHIRE!$A$226:$F$258,STAFFORDSHIRE!$A$261:$F$292,STAFFORDSHIRE!$A$295:$F$328,STAFFORDSHIRE!$A$331:$F$347</definedName>
    <definedName name="_xlnm.Print_Area" localSheetId="67">SUFFOLK!$A$1:$F$42,SUFFOLK!$A$44:$F$79,SUFFOLK!$A$82:$F$102,SUFFOLK!$A$105:$F$128,SUFFOLK!$A$131:$F$169,SUFFOLK!$A$172:$F$211,SUFFOLK!$A$214:$F$247,SUFFOLK!$A$250:$F$280</definedName>
    <definedName name="_xlnm.Print_Area" localSheetId="68">SURREY!$A$1:$F$60,SURREY!$A$62:$F$92,SURREY!$A$95:$F$114,SURREY!$A$117:$F$148,SURREY!$A$151:$F$179,SURREY!$A$182:$F$209,SURREY!$A$212:$F$233,SURREY!$A$236:$F$255,SURREY!$A$258:$F$281,SURREY!$A$284:$F$311,SURREY!$A$314:$F$350,SURREY!$A$353:$F$377</definedName>
    <definedName name="_xlnm.Print_Area" localSheetId="69">SUTTON!$A$1:$F$33</definedName>
    <definedName name="_xlnm.Print_Area" localSheetId="70">'TOWER HAMLETS'!$A$1:$F$40</definedName>
    <definedName name="_xlnm.Print_Area" localSheetId="71">'TYNE &amp; WEAR'!$A$1:$F$58,'TYNE &amp; WEAR'!$A$60:$F$93,'TYNE &amp; WEAR'!$A$97:$F$131,'TYNE &amp; WEAR'!$A$134:$F$161,'TYNE &amp; WEAR'!$A$164:$F$189,'TYNE &amp; WEAR'!$A$192:$F$228</definedName>
    <definedName name="_xlnm.Print_Area" localSheetId="72">'WALTHAM FOREST'!$A$1:$F$39</definedName>
    <definedName name="_xlnm.Print_Area" localSheetId="73">WANDSWORTH!$A$1:$F$40</definedName>
    <definedName name="_xlnm.Print_Area" localSheetId="74">WARWICKSHIRE!$A$1:$F$41,WARWICKSHIRE!$A$44:$F$67,WARWICKSHIRE!$A$70:$F$94,WARWICKSHIRE!$A$97:$F$120,WARWICKSHIRE!$A$124:$F$169,WARWICKSHIRE!$A$172:$F$202</definedName>
    <definedName name="_xlnm.Print_Area" localSheetId="75">'WEST MIDLANDS'!$A$1:$F$89,'WEST MIDLANDS'!$A$93:$F$149,'WEST MIDLANDS'!$A$152:$F$178,'WEST MIDLANDS'!$A$181:$F$215,'WEST MIDLANDS'!$A$218:$F$253,'WEST MIDLANDS'!$A$256:$F$281,'WEST MIDLANDS'!$A$284:$F$314,'WEST MIDLANDS'!$A$316:$F$345</definedName>
    <definedName name="_xlnm.Print_Area" localSheetId="76">'WEST SUSSEX'!$A$1:$F$42,'WEST SUSSEX'!$A$44:$F$64,'WEST SUSSEX'!$A$67:$F$98,'WEST SUSSEX'!$A$101:$F$137,'WEST SUSSEX'!$A$140:$F$161,'WEST SUSSEX'!$A$164:$F$193,'WEST SUSSEX'!$A$197:$F$232,'WEST SUSSEX'!$A$235:$F$255</definedName>
    <definedName name="_xlnm.Print_Area" localSheetId="77">'WEST YORKSHIRE'!$A$1:$F$72,'WEST YORKSHIRE'!$A$74:$F$117,'WEST YORKSHIRE'!$A$120:$F$144,'WEST YORKSHIRE'!$A$147:$F$181,'WEST YORKSHIRE'!$A$184:$F$230,'WEST YORKSHIRE'!$A$233:$F$263</definedName>
    <definedName name="_xlnm.Print_Area" localSheetId="78">WESTMINSTER!$A$1:$F$38</definedName>
    <definedName name="_xlnm.Print_Area" localSheetId="79">WILTSHIRE!$A$1:$F$29,WILTSHIRE!$A$63:$F$171</definedName>
    <definedName name="_xlnm.Print_Area" localSheetId="80">WORCESTERSHIRE!$A$1:$F$226</definedName>
    <definedName name="Print_Area_MI" localSheetId="2">'"AVON"'!$A$1:$G$39</definedName>
    <definedName name="Print_Area_MI" localSheetId="6">'"BERKSHIRE"'!$A$1:$G$41</definedName>
    <definedName name="Print_Area_MI" localSheetId="15">'"CLEVELAND"'!$A$1:$G$55</definedName>
    <definedName name="Print_Area_MI" localSheetId="40">'"HUMBERSIDE"'!$A$1:$G$35</definedName>
    <definedName name="Print_Area_MI" localSheetId="3">BARKING!$A$1:$G$35</definedName>
    <definedName name="Print_Area_MI" localSheetId="4">BARNET!$A$1:$G$40</definedName>
    <definedName name="Print_Area_MI" localSheetId="5">BEDFORDSHIRE!$A$1:$G$30</definedName>
    <definedName name="Print_Area_MI" localSheetId="7">BEXLEY!$A$1:$G$14</definedName>
    <definedName name="Print_Area_MI" localSheetId="8">BRENT!$A$1:$G$51</definedName>
    <definedName name="Print_Area_MI" localSheetId="9">BROMLEY!$A$1:$G$40</definedName>
    <definedName name="Print_Area_MI" localSheetId="10">BUCKINGHAMSHIRE!$A$1:$G$34</definedName>
    <definedName name="Print_Area_MI" localSheetId="11">CAMBRIDGESHIRE!$A$1:$G$49</definedName>
    <definedName name="Print_Area_MI" localSheetId="12">CAMDEN!$A$1:$G$37</definedName>
    <definedName name="Print_Area_MI" localSheetId="13">CHESHIRE!$A$1:$G$44</definedName>
    <definedName name="Print_Area_MI" localSheetId="14">'CITY OF LONDON'!$A$1:$G$8</definedName>
    <definedName name="Print_Area_MI" localSheetId="1">CONSTITUENCIES!#REF!</definedName>
    <definedName name="Print_Area_MI" localSheetId="16">CORNWALL!$A$1:$G$27</definedName>
    <definedName name="Print_Area_MI" localSheetId="17">CROYDON!$A$1:$G$49</definedName>
    <definedName name="Print_Area_MI" localSheetId="18">CUMBRIA!$A$1:$G$32</definedName>
    <definedName name="Print_Area_MI" localSheetId="19">DERBYSHIRE!$A$1:$G$56</definedName>
    <definedName name="Print_Area_MI" localSheetId="20">DEVON!$A$1:$G$61</definedName>
    <definedName name="Print_Area_MI" localSheetId="21">DORSET!$A$1:$G$50</definedName>
    <definedName name="Print_Area_MI" localSheetId="22">DURHAM!$A$1:$G$33</definedName>
    <definedName name="Print_Area_MI" localSheetId="23">EALING!$A$1:$G$24</definedName>
    <definedName name="Print_Area_MI" localSheetId="24">'EAST SUSSEX'!$A$1:$G$45</definedName>
    <definedName name="Print_Area_MI" localSheetId="25">ENFIELD!$A$1:$G$55</definedName>
    <definedName name="Print_Area_MI" localSheetId="26">ESSEX!$A$1:$G$63</definedName>
    <definedName name="Print_Area_MI" localSheetId="27">GLOUCESTERSHIRE!$A$1:$G$40</definedName>
    <definedName name="Print_Area_MI" localSheetId="28">'GREATER MANCHESTER'!$A$1:$G$59</definedName>
    <definedName name="Print_Area_MI" localSheetId="29">GREENWICH!$A$1:$G$16</definedName>
    <definedName name="Print_Area_MI" localSheetId="30">HACKNEY!$A$1:$G$31</definedName>
    <definedName name="Print_Area_MI" localSheetId="31">HAMMERSMITH!$A$1:$G$16</definedName>
    <definedName name="Print_Area_MI" localSheetId="32">HAMPSHIRE!$A$1:$G$68</definedName>
    <definedName name="Print_Area_MI" localSheetId="33">HARINGEY!$A$1:$G$38</definedName>
    <definedName name="Print_Area_MI" localSheetId="34">HARROW!$A$1:$G$41</definedName>
    <definedName name="Print_Area_MI" localSheetId="35">HAVERING!$A$1:$G$34</definedName>
    <definedName name="Print_Area_MI" localSheetId="36">HEREFORDSHIRE!$A$1:$G$20</definedName>
    <definedName name="Print_Area_MI" localSheetId="37">HERTFORDSHIRE!$A$1:$G$62</definedName>
    <definedName name="Print_Area_MI" localSheetId="38">HILLINGDON!$A$1:$G$38</definedName>
    <definedName name="Print_Area_MI" localSheetId="39">HOUNSLOW!$A$17:$E$36</definedName>
    <definedName name="Print_Area_MI" localSheetId="41">'ISLE OF WIGHT'!$A$1:$F$50</definedName>
    <definedName name="Print_Area_MI" localSheetId="42">ISLINGTON!$A$1:$G$32</definedName>
    <definedName name="Print_Area_MI" localSheetId="43">KENSINGTON!$A$1:$G$8</definedName>
    <definedName name="Print_Area_MI" localSheetId="44">KENT!$A$1:$G$69</definedName>
    <definedName name="Print_Area_MI" localSheetId="45">KINGSTON!$A$1:$G$14</definedName>
    <definedName name="Print_Area_MI" localSheetId="46">LAMBETH!$A$1:$G$29</definedName>
    <definedName name="Print_Area_MI" localSheetId="47">LANCASHIRE!$A$1:$G$67</definedName>
    <definedName name="Print_Area_MI" localSheetId="48">LEICESTERSHIRE!$A$1:$G$95</definedName>
    <definedName name="Print_Area_MI" localSheetId="49">LEWISHAM!$A$1:$G$34</definedName>
    <definedName name="Print_Area_MI" localSheetId="50">LINCOLNSHIRE!$A$1:$G$39</definedName>
    <definedName name="Print_Area_MI" localSheetId="51">MERSEYSIDE!$A$1:$G$50</definedName>
    <definedName name="Print_Area_MI" localSheetId="52">MERTON!$A$1:$G$47</definedName>
    <definedName name="Print_Area_MI" localSheetId="53">NEWHAM!$A$1:$G$16</definedName>
    <definedName name="Print_Area_MI" localSheetId="54">NORFOLK!$A$1:$G$48</definedName>
    <definedName name="Print_Area_MI" localSheetId="55">'NORTH YORKSHIRE'!$A$1:$G$50</definedName>
    <definedName name="Print_Area_MI" localSheetId="56">NORTHAMPTONSHIRE!$A$1:$G$42</definedName>
    <definedName name="Print_Area_MI" localSheetId="57">NORTHUMBERLAND!$A$1:$G$16</definedName>
    <definedName name="Print_Area_MI" localSheetId="58">NOTTINGHAMSHIRE!$A$1:$G$56</definedName>
    <definedName name="Print_Area_MI" localSheetId="59">OXFORDSHIRE!$A$1:$G$32</definedName>
    <definedName name="Print_Area_MI" localSheetId="60">REDBRIDGE!$A$1:$G$24</definedName>
    <definedName name="Print_Area_MI" localSheetId="0">REGIONS!$A$330:$A$384</definedName>
    <definedName name="Print_Area_MI" localSheetId="61">RICHMOND!$A$1:$G$14</definedName>
    <definedName name="Print_Area_MI" localSheetId="62">'SHROPSHIRE &amp; TELFORD &amp; WREKIN '!$A$1:$G$25</definedName>
    <definedName name="Print_Area_MI" localSheetId="63">SOMERSET!$A$1:$G$35</definedName>
    <definedName name="Print_Area_MI" localSheetId="64">'SOUTH YORKSHIRE'!$A$1:$G$55</definedName>
    <definedName name="Print_Area_MI" localSheetId="65">SOUTHWARK!$A$1:$G$22</definedName>
    <definedName name="Print_Area_MI" localSheetId="66">STAFFORDSHIRE!$A$1:$G$56</definedName>
    <definedName name="Print_Area_MI" localSheetId="67">SUFFOLK!$A$1:$G$42</definedName>
    <definedName name="Print_Area_MI" localSheetId="68">SURREY!$A$1:$G$57</definedName>
    <definedName name="Print_Area_MI" localSheetId="69">SUTTON!$A$1:$G$32</definedName>
    <definedName name="Print_Area_MI" localSheetId="70">'TOWER HAMLETS'!$A$1:$G$16</definedName>
    <definedName name="Print_Area_MI" localSheetId="71">'TYNE &amp; WEAR'!$A$1:$G$58</definedName>
    <definedName name="Print_Area_MI" localSheetId="72">'WALTHAM FOREST'!$A$1:$G$16</definedName>
    <definedName name="Print_Area_MI" localSheetId="73">WANDSWORTH!$A$1:$G$38</definedName>
    <definedName name="Print_Area_MI" localSheetId="74">WARWICKSHIRE!$A$1:$G$41</definedName>
    <definedName name="Print_Area_MI" localSheetId="75">'WEST MIDLANDS'!$A$1:$G$77</definedName>
    <definedName name="Print_Area_MI" localSheetId="76">'WEST SUSSEX'!$A$1:$G$42</definedName>
    <definedName name="Print_Area_MI" localSheetId="77">'WEST YORKSHIRE'!$A$1:$G$72</definedName>
    <definedName name="Print_Area_MI" localSheetId="78">WESTMINSTER!$A$1:$G$15</definedName>
    <definedName name="Print_Area_MI" localSheetId="79">WILTSHIRE!$A$1:$G$29</definedName>
    <definedName name="Print_Area_MI" localSheetId="80">WORCESTERSHIRE!$A$1:$G$41</definedName>
    <definedName name="_xlnm.Print_Titles" localSheetId="1">CONSTITUENCIES!$1:$2</definedName>
    <definedName name="_xlnm.Print_Titles" localSheetId="0">REGIONS!$1:$2</definedName>
    <definedName name="Print_Titles_MI" localSheetId="1">CONSTITUENCIES!$1:$1</definedName>
    <definedName name="Print_Titles_MI" localSheetId="0">REGIONS!$1:$2</definedName>
  </definedNames>
  <calcPr calcId="152511"/>
</workbook>
</file>

<file path=xl/calcChain.xml><?xml version="1.0" encoding="utf-8"?>
<calcChain xmlns="http://schemas.openxmlformats.org/spreadsheetml/2006/main">
  <c r="A4" i="3" l="1"/>
  <c r="B4" i="3"/>
  <c r="A9" i="3"/>
  <c r="B9" i="3"/>
  <c r="A11" i="3"/>
  <c r="B11" i="3"/>
  <c r="A13" i="3"/>
  <c r="B13" i="3"/>
  <c r="A14" i="3"/>
  <c r="B14" i="3"/>
  <c r="A20" i="3"/>
  <c r="B20" i="3"/>
  <c r="A25" i="3"/>
  <c r="B25" i="3"/>
  <c r="A32" i="3"/>
  <c r="B32" i="3"/>
  <c r="A53" i="3"/>
  <c r="B53" i="3"/>
  <c r="A63" i="3"/>
  <c r="B63" i="3"/>
  <c r="A72" i="3"/>
  <c r="B72" i="3"/>
  <c r="A73" i="3"/>
  <c r="B73" i="3"/>
  <c r="A74" i="3"/>
  <c r="B74" i="3"/>
  <c r="A85" i="3"/>
  <c r="B85" i="3"/>
  <c r="A95" i="3"/>
  <c r="B95" i="3"/>
  <c r="A102" i="3"/>
  <c r="B102" i="3"/>
  <c r="A106" i="3"/>
  <c r="B106" i="3"/>
  <c r="A108" i="3"/>
  <c r="B108" i="3"/>
  <c r="A125" i="3"/>
  <c r="B125" i="3"/>
  <c r="A132" i="3"/>
  <c r="B132" i="3"/>
  <c r="A142" i="3"/>
  <c r="B142" i="3"/>
  <c r="A153" i="3"/>
  <c r="B153" i="3"/>
  <c r="A154" i="3"/>
  <c r="B154" i="3"/>
  <c r="A155" i="3"/>
  <c r="B155" i="3"/>
  <c r="A157" i="3"/>
  <c r="B157" i="3"/>
  <c r="A158" i="3"/>
  <c r="B158" i="3"/>
  <c r="A166" i="3"/>
  <c r="B166" i="3"/>
  <c r="A169" i="3"/>
  <c r="B169" i="3"/>
  <c r="A173" i="3"/>
  <c r="B173" i="3"/>
  <c r="A179" i="3"/>
  <c r="B179" i="3"/>
  <c r="A185" i="3"/>
  <c r="B185" i="3"/>
  <c r="A188" i="3"/>
  <c r="B188" i="3"/>
  <c r="A190" i="3"/>
  <c r="B190" i="3"/>
  <c r="A195" i="3"/>
  <c r="B195" i="3"/>
  <c r="A208" i="3"/>
  <c r="B208" i="3"/>
  <c r="A209" i="3"/>
  <c r="B209" i="3"/>
  <c r="A213" i="3"/>
  <c r="B213" i="3"/>
  <c r="A219" i="3"/>
  <c r="B219" i="3"/>
  <c r="A225" i="3"/>
  <c r="B225" i="3"/>
  <c r="A230" i="3"/>
  <c r="B230" i="3"/>
  <c r="A231" i="3"/>
  <c r="B231" i="3"/>
  <c r="A254" i="3"/>
  <c r="B254" i="3"/>
  <c r="A269" i="3"/>
  <c r="B269" i="3"/>
  <c r="A270" i="3"/>
  <c r="B270" i="3"/>
  <c r="A281" i="3"/>
  <c r="B281" i="3"/>
  <c r="A285" i="3"/>
  <c r="B285" i="3"/>
  <c r="A286" i="3"/>
  <c r="B286" i="3"/>
  <c r="A287" i="3"/>
  <c r="B287" i="3"/>
  <c r="A288" i="3"/>
  <c r="B288" i="3"/>
  <c r="A289" i="3"/>
  <c r="B289" i="3"/>
  <c r="A291" i="3"/>
  <c r="B291" i="3"/>
  <c r="A302" i="3"/>
  <c r="B302" i="3"/>
  <c r="A305" i="3"/>
  <c r="B305" i="3"/>
  <c r="A314" i="3"/>
  <c r="B314" i="3"/>
  <c r="A329" i="3"/>
  <c r="B329" i="3"/>
  <c r="A330" i="3"/>
  <c r="B330" i="3"/>
  <c r="A339" i="3"/>
  <c r="B339" i="3"/>
  <c r="A340" i="3"/>
  <c r="B340" i="3"/>
  <c r="A346" i="3"/>
  <c r="B346" i="3"/>
  <c r="A347" i="3"/>
  <c r="B347" i="3"/>
  <c r="A349" i="3"/>
  <c r="B349" i="3"/>
  <c r="A353" i="3"/>
  <c r="B353" i="3"/>
  <c r="A361" i="3"/>
  <c r="B361" i="3"/>
  <c r="A370" i="3"/>
  <c r="B370" i="3"/>
  <c r="A380" i="3"/>
  <c r="B380" i="3"/>
  <c r="A383" i="3"/>
  <c r="B383" i="3"/>
  <c r="A403" i="3"/>
  <c r="B403" i="3"/>
  <c r="A405" i="3"/>
  <c r="B405" i="3"/>
  <c r="A406" i="3"/>
  <c r="B406" i="3"/>
  <c r="A409" i="3"/>
  <c r="B409" i="3"/>
  <c r="A430" i="3"/>
  <c r="B430" i="3"/>
  <c r="A437" i="3"/>
  <c r="B437" i="3"/>
  <c r="A439" i="3"/>
  <c r="B439" i="3"/>
  <c r="A444" i="3"/>
  <c r="B444" i="3"/>
  <c r="A450" i="3"/>
  <c r="B450" i="3"/>
  <c r="A457" i="3"/>
  <c r="B457" i="3"/>
  <c r="A485" i="3"/>
  <c r="B485" i="3"/>
  <c r="A486" i="3"/>
  <c r="B486" i="3"/>
  <c r="A488" i="3"/>
  <c r="B488" i="3"/>
  <c r="A489" i="3"/>
  <c r="B489" i="3"/>
  <c r="A490" i="3"/>
  <c r="B490" i="3"/>
  <c r="A497" i="3"/>
  <c r="B497" i="3"/>
  <c r="A498" i="3"/>
  <c r="B498" i="3"/>
  <c r="D326" i="2"/>
  <c r="D324" i="2"/>
  <c r="D323" i="2"/>
  <c r="D322" i="2"/>
  <c r="D321" i="2"/>
  <c r="D320" i="2"/>
  <c r="D319" i="2"/>
  <c r="D318" i="2"/>
  <c r="D317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2" i="2"/>
  <c r="D301" i="2"/>
  <c r="D300" i="2"/>
  <c r="D299" i="2"/>
  <c r="D298" i="2"/>
  <c r="D297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79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1" i="2"/>
  <c r="D260" i="2"/>
  <c r="D259" i="2"/>
  <c r="D258" i="2"/>
  <c r="D257" i="2"/>
  <c r="D256" i="2"/>
  <c r="D255" i="2"/>
  <c r="D254" i="2"/>
  <c r="D252" i="2"/>
  <c r="D251" i="2"/>
  <c r="D250" i="2"/>
  <c r="D249" i="2"/>
  <c r="D248" i="2"/>
  <c r="D247" i="2"/>
  <c r="D246" i="2"/>
  <c r="D244" i="2"/>
  <c r="D243" i="2"/>
  <c r="D242" i="2"/>
  <c r="D241" i="2"/>
  <c r="D240" i="2"/>
  <c r="D239" i="2"/>
  <c r="D238" i="2"/>
  <c r="B238" i="2"/>
  <c r="B239" i="2"/>
  <c r="B240" i="2"/>
  <c r="B241" i="2"/>
  <c r="B242" i="2"/>
  <c r="B243" i="2"/>
  <c r="B246" i="2"/>
  <c r="B247" i="2"/>
  <c r="B248" i="2"/>
  <c r="B249" i="2"/>
  <c r="B251" i="2"/>
  <c r="B254" i="2"/>
  <c r="B255" i="2"/>
  <c r="B256" i="2"/>
  <c r="B257" i="2"/>
  <c r="B258" i="2"/>
  <c r="B260" i="2"/>
  <c r="B263" i="2"/>
  <c r="B264" i="2"/>
  <c r="B274" i="2" s="1"/>
  <c r="B265" i="2"/>
  <c r="B266" i="2"/>
  <c r="B267" i="2"/>
  <c r="B268" i="2"/>
  <c r="B269" i="2"/>
  <c r="B270" i="2"/>
  <c r="B271" i="2"/>
  <c r="B272" i="2"/>
  <c r="B273" i="2"/>
  <c r="B275" i="2"/>
  <c r="B276" i="2"/>
  <c r="B279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7" i="2"/>
  <c r="B298" i="2"/>
  <c r="B299" i="2"/>
  <c r="B300" i="2"/>
  <c r="B301" i="2"/>
  <c r="B302" i="2"/>
  <c r="B304" i="2"/>
  <c r="B305" i="2"/>
  <c r="B306" i="2"/>
  <c r="B307" i="2"/>
  <c r="B308" i="2"/>
  <c r="B309" i="2"/>
  <c r="B310" i="2"/>
  <c r="B311" i="2"/>
  <c r="B312" i="2"/>
  <c r="B313" i="2"/>
  <c r="B314" i="2"/>
  <c r="B317" i="2"/>
  <c r="B324" i="2" s="1"/>
  <c r="B318" i="2"/>
  <c r="B319" i="2"/>
  <c r="B320" i="2"/>
  <c r="B321" i="2"/>
  <c r="B322" i="2"/>
  <c r="B323" i="2"/>
  <c r="B330" i="2"/>
  <c r="D330" i="2" s="1"/>
  <c r="B331" i="2"/>
  <c r="D331" i="2" s="1"/>
  <c r="B332" i="2"/>
  <c r="D332" i="2" s="1"/>
  <c r="B333" i="2"/>
  <c r="D333" i="2" s="1"/>
  <c r="B336" i="2"/>
  <c r="D336" i="2" s="1"/>
  <c r="B337" i="2"/>
  <c r="D337" i="2" s="1"/>
  <c r="B340" i="2"/>
  <c r="D340" i="2" s="1"/>
  <c r="B341" i="2"/>
  <c r="D341" i="2" s="1"/>
  <c r="B342" i="2"/>
  <c r="D342" i="2" s="1"/>
  <c r="B343" i="2"/>
  <c r="D343" i="2"/>
  <c r="B344" i="2"/>
  <c r="D344" i="2" s="1"/>
  <c r="B345" i="2"/>
  <c r="D345" i="2" s="1"/>
  <c r="B346" i="2"/>
  <c r="D346" i="2" s="1"/>
  <c r="B347" i="2"/>
  <c r="D347" i="2" s="1"/>
  <c r="B349" i="2"/>
  <c r="D349" i="2" s="1"/>
  <c r="B350" i="2"/>
  <c r="D350" i="2" s="1"/>
  <c r="B353" i="2"/>
  <c r="D353" i="2" s="1"/>
  <c r="B354" i="2"/>
  <c r="D354" i="2" s="1"/>
  <c r="B355" i="2"/>
  <c r="D355" i="2" s="1"/>
  <c r="B356" i="2"/>
  <c r="D356" i="2" s="1"/>
  <c r="B357" i="2"/>
  <c r="D357" i="2" s="1"/>
  <c r="B358" i="2"/>
  <c r="D358" i="2" s="1"/>
  <c r="B360" i="2"/>
  <c r="D360" i="2" s="1"/>
  <c r="B361" i="2"/>
  <c r="D361" i="2" s="1"/>
  <c r="D253" i="158"/>
  <c r="D252" i="158"/>
  <c r="D237" i="158"/>
  <c r="D11" i="158" s="1"/>
  <c r="D230" i="158"/>
  <c r="D229" i="158"/>
  <c r="D228" i="158"/>
  <c r="D227" i="158"/>
  <c r="D16" i="158" s="1"/>
  <c r="D199" i="158"/>
  <c r="D191" i="158"/>
  <c r="D190" i="158"/>
  <c r="D166" i="158"/>
  <c r="D9" i="158" s="1"/>
  <c r="D159" i="158"/>
  <c r="D142" i="158"/>
  <c r="D135" i="158"/>
  <c r="D134" i="158"/>
  <c r="D14" i="158" s="1"/>
  <c r="D103" i="158"/>
  <c r="D96" i="158"/>
  <c r="D95" i="158"/>
  <c r="D94" i="158"/>
  <c r="D69" i="158"/>
  <c r="D6" i="158" s="1"/>
  <c r="D3" i="158" s="1"/>
  <c r="D62" i="158"/>
  <c r="D46" i="158"/>
  <c r="D39" i="158"/>
  <c r="D38" i="158"/>
  <c r="D37" i="158"/>
  <c r="D35" i="158"/>
  <c r="D33" i="158"/>
  <c r="D32" i="158"/>
  <c r="D31" i="158"/>
  <c r="D29" i="158"/>
  <c r="D28" i="158"/>
  <c r="D27" i="158"/>
  <c r="D24" i="158"/>
  <c r="D23" i="158"/>
  <c r="D25" i="158" s="1"/>
  <c r="D21" i="158"/>
  <c r="D19" i="158"/>
  <c r="D15" i="158"/>
  <c r="D13" i="158"/>
  <c r="D17" i="158" s="1"/>
  <c r="D41" i="158" s="1"/>
  <c r="D10" i="158"/>
  <c r="D8" i="158"/>
  <c r="D7" i="158"/>
  <c r="D5" i="158"/>
  <c r="D375" i="157"/>
  <c r="D374" i="157"/>
  <c r="D355" i="157"/>
  <c r="D348" i="157"/>
  <c r="D44" i="157" s="1"/>
  <c r="D347" i="157"/>
  <c r="D316" i="157"/>
  <c r="D308" i="157"/>
  <c r="D286" i="157"/>
  <c r="D13" i="157" s="1"/>
  <c r="D279" i="157"/>
  <c r="D278" i="157"/>
  <c r="D260" i="157"/>
  <c r="D253" i="157"/>
  <c r="D47" i="157" s="1"/>
  <c r="D238" i="157"/>
  <c r="D231" i="157"/>
  <c r="D230" i="157"/>
  <c r="D214" i="157"/>
  <c r="D207" i="157"/>
  <c r="D206" i="157"/>
  <c r="D205" i="157"/>
  <c r="D184" i="157"/>
  <c r="D9" i="157" s="1"/>
  <c r="D177" i="157"/>
  <c r="D176" i="157"/>
  <c r="D153" i="157"/>
  <c r="D146" i="157"/>
  <c r="D54" i="157" s="1"/>
  <c r="D145" i="157"/>
  <c r="D144" i="157"/>
  <c r="D143" i="157"/>
  <c r="D119" i="157"/>
  <c r="D7" i="157" s="1"/>
  <c r="D112" i="157"/>
  <c r="D97" i="157"/>
  <c r="D90" i="157"/>
  <c r="D39" i="157" s="1"/>
  <c r="D89" i="157"/>
  <c r="D32" i="157" s="1"/>
  <c r="D88" i="157"/>
  <c r="D64" i="157"/>
  <c r="D57" i="157"/>
  <c r="D56" i="157"/>
  <c r="D55" i="157"/>
  <c r="D52" i="157"/>
  <c r="D51" i="157"/>
  <c r="D50" i="157"/>
  <c r="D46" i="157"/>
  <c r="D48" i="157" s="1"/>
  <c r="D41" i="157"/>
  <c r="D40" i="157"/>
  <c r="D37" i="157"/>
  <c r="D35" i="157"/>
  <c r="D34" i="157"/>
  <c r="D33" i="157"/>
  <c r="D30" i="157"/>
  <c r="D29" i="157"/>
  <c r="D28" i="157"/>
  <c r="D26" i="157"/>
  <c r="D24" i="157"/>
  <c r="D23" i="157"/>
  <c r="D22" i="157"/>
  <c r="D21" i="157"/>
  <c r="D19" i="157"/>
  <c r="D18" i="157"/>
  <c r="D17" i="157"/>
  <c r="D15" i="157"/>
  <c r="D14" i="157"/>
  <c r="D12" i="157"/>
  <c r="D11" i="157"/>
  <c r="D10" i="157"/>
  <c r="D8" i="157"/>
  <c r="D6" i="157"/>
  <c r="D5" i="157"/>
  <c r="D205" i="156"/>
  <c r="D176" i="156"/>
  <c r="D9" i="156" s="1"/>
  <c r="D169" i="156"/>
  <c r="D168" i="156"/>
  <c r="D142" i="156"/>
  <c r="D135" i="156"/>
  <c r="D25" i="156" s="1"/>
  <c r="D27" i="156" s="1"/>
  <c r="D134" i="156"/>
  <c r="D133" i="156"/>
  <c r="D109" i="156"/>
  <c r="D102" i="156"/>
  <c r="D20" i="156" s="1"/>
  <c r="D101" i="156"/>
  <c r="D75" i="156"/>
  <c r="D68" i="156"/>
  <c r="D67" i="156"/>
  <c r="D66" i="156"/>
  <c r="D36" i="156"/>
  <c r="D29" i="156"/>
  <c r="D26" i="156"/>
  <c r="D23" i="156"/>
  <c r="D22" i="156"/>
  <c r="D21" i="156"/>
  <c r="D19" i="156"/>
  <c r="D17" i="156"/>
  <c r="D14" i="156"/>
  <c r="D13" i="156"/>
  <c r="D15" i="156" s="1"/>
  <c r="D11" i="156"/>
  <c r="D8" i="156"/>
  <c r="D7" i="156"/>
  <c r="D6" i="156"/>
  <c r="D5" i="156"/>
  <c r="D498" i="155"/>
  <c r="D72" i="155" s="1"/>
  <c r="D497" i="155"/>
  <c r="D475" i="155"/>
  <c r="D468" i="155"/>
  <c r="D467" i="155"/>
  <c r="D60" i="155" s="1"/>
  <c r="D466" i="155"/>
  <c r="D440" i="155"/>
  <c r="D433" i="155"/>
  <c r="D432" i="155"/>
  <c r="D50" i="155" s="1"/>
  <c r="D51" i="155" s="1"/>
  <c r="D407" i="155"/>
  <c r="D400" i="155"/>
  <c r="D399" i="155"/>
  <c r="D373" i="155"/>
  <c r="D15" i="155" s="1"/>
  <c r="D366" i="155"/>
  <c r="D351" i="155"/>
  <c r="D343" i="155"/>
  <c r="D342" i="155"/>
  <c r="D59" i="155" s="1"/>
  <c r="D61" i="155" s="1"/>
  <c r="D341" i="155"/>
  <c r="D313" i="155"/>
  <c r="D305" i="155"/>
  <c r="D304" i="155"/>
  <c r="D53" i="155" s="1"/>
  <c r="D276" i="155"/>
  <c r="D269" i="155"/>
  <c r="D268" i="155"/>
  <c r="D248" i="155"/>
  <c r="D11" i="155" s="1"/>
  <c r="D241" i="155"/>
  <c r="D240" i="155"/>
  <c r="D217" i="155"/>
  <c r="D210" i="155"/>
  <c r="D31" i="155" s="1"/>
  <c r="D191" i="155"/>
  <c r="D184" i="155"/>
  <c r="D183" i="155"/>
  <c r="D160" i="155"/>
  <c r="D8" i="155" s="1"/>
  <c r="D153" i="155"/>
  <c r="D152" i="155"/>
  <c r="D115" i="155"/>
  <c r="D7" i="155" s="1"/>
  <c r="D108" i="155"/>
  <c r="D56" i="155" s="1"/>
  <c r="D57" i="155" s="1"/>
  <c r="D107" i="155"/>
  <c r="D106" i="155"/>
  <c r="D82" i="155"/>
  <c r="D71" i="155"/>
  <c r="D69" i="155"/>
  <c r="D68" i="155"/>
  <c r="D67" i="155"/>
  <c r="D65" i="155"/>
  <c r="D63" i="155"/>
  <c r="D55" i="155"/>
  <c r="D49" i="155"/>
  <c r="D46" i="155"/>
  <c r="D45" i="155"/>
  <c r="D43" i="155"/>
  <c r="D37" i="152" s="1"/>
  <c r="D41" i="155"/>
  <c r="D40" i="155"/>
  <c r="D39" i="155"/>
  <c r="D37" i="155"/>
  <c r="D35" i="155"/>
  <c r="D33" i="155"/>
  <c r="D28" i="155"/>
  <c r="D29" i="155" s="1"/>
  <c r="D27" i="155"/>
  <c r="D24" i="155"/>
  <c r="D23" i="155"/>
  <c r="D25" i="155" s="1"/>
  <c r="D22" i="155"/>
  <c r="D20" i="155"/>
  <c r="D18" i="155"/>
  <c r="D17" i="155"/>
  <c r="D16" i="155"/>
  <c r="D14" i="155"/>
  <c r="D13" i="155"/>
  <c r="D12" i="155"/>
  <c r="D10" i="155"/>
  <c r="D9" i="155"/>
  <c r="D4" i="155"/>
  <c r="D7" i="154"/>
  <c r="D5" i="154"/>
  <c r="D3" i="154"/>
  <c r="D474" i="153"/>
  <c r="D473" i="153"/>
  <c r="D472" i="153"/>
  <c r="D31" i="153" s="1"/>
  <c r="D444" i="153"/>
  <c r="D18" i="153" s="1"/>
  <c r="D437" i="153"/>
  <c r="D436" i="153"/>
  <c r="D435" i="153"/>
  <c r="D41" i="153" s="1"/>
  <c r="D409" i="153"/>
  <c r="D17" i="153" s="1"/>
  <c r="D402" i="153"/>
  <c r="D387" i="153"/>
  <c r="D379" i="153"/>
  <c r="D44" i="153" s="1"/>
  <c r="D378" i="153"/>
  <c r="D40" i="153" s="1"/>
  <c r="D342" i="153"/>
  <c r="D335" i="153"/>
  <c r="D334" i="153"/>
  <c r="D38" i="153" s="1"/>
  <c r="D318" i="153"/>
  <c r="D14" i="153" s="1"/>
  <c r="D311" i="153"/>
  <c r="D310" i="153"/>
  <c r="D297" i="153"/>
  <c r="D13" i="153" s="1"/>
  <c r="D290" i="153"/>
  <c r="D35" i="153" s="1"/>
  <c r="D271" i="153"/>
  <c r="D264" i="153"/>
  <c r="D263" i="153"/>
  <c r="D30" i="153" s="1"/>
  <c r="D32" i="153" s="1"/>
  <c r="D246" i="153"/>
  <c r="D11" i="153" s="1"/>
  <c r="D239" i="153"/>
  <c r="D238" i="153"/>
  <c r="D217" i="153"/>
  <c r="D10" i="153" s="1"/>
  <c r="D3" i="153" s="1"/>
  <c r="D6" i="153" s="1"/>
  <c r="D210" i="153"/>
  <c r="D47" i="153" s="1"/>
  <c r="D209" i="153"/>
  <c r="D169" i="153"/>
  <c r="D162" i="153"/>
  <c r="D51" i="153" s="1"/>
  <c r="D53" i="153" s="1"/>
  <c r="D161" i="153"/>
  <c r="D160" i="153"/>
  <c r="D129" i="153"/>
  <c r="D122" i="153"/>
  <c r="D63" i="153" s="1"/>
  <c r="D121" i="153"/>
  <c r="D103" i="153"/>
  <c r="D96" i="153"/>
  <c r="D95" i="153"/>
  <c r="D56" i="153" s="1"/>
  <c r="D79" i="153"/>
  <c r="D4" i="153" s="1"/>
  <c r="D70" i="153"/>
  <c r="D67" i="153"/>
  <c r="D68" i="153" s="1"/>
  <c r="D66" i="153"/>
  <c r="D65" i="153"/>
  <c r="D61" i="153"/>
  <c r="D59" i="153"/>
  <c r="D55" i="153"/>
  <c r="D52" i="153"/>
  <c r="D48" i="153"/>
  <c r="D46" i="153"/>
  <c r="D49" i="153" s="1"/>
  <c r="D34" i="153"/>
  <c r="D36" i="153" s="1"/>
  <c r="D28" i="153"/>
  <c r="D26" i="153"/>
  <c r="D24" i="153"/>
  <c r="D21" i="153"/>
  <c r="D20" i="153"/>
  <c r="D16" i="153"/>
  <c r="D15" i="153"/>
  <c r="D12" i="153"/>
  <c r="D9" i="153"/>
  <c r="D8" i="153"/>
  <c r="D5" i="153"/>
  <c r="D227" i="152"/>
  <c r="D226" i="152"/>
  <c r="D225" i="152"/>
  <c r="D224" i="152"/>
  <c r="D14" i="152" s="1"/>
  <c r="D187" i="152"/>
  <c r="D11" i="152" s="1"/>
  <c r="D180" i="152"/>
  <c r="D179" i="152"/>
  <c r="D178" i="152"/>
  <c r="D13" i="152" s="1"/>
  <c r="D156" i="152"/>
  <c r="D10" i="152" s="1"/>
  <c r="D149" i="152"/>
  <c r="D148" i="152"/>
  <c r="D125" i="152"/>
  <c r="D9" i="152" s="1"/>
  <c r="D118" i="152"/>
  <c r="D29" i="152" s="1"/>
  <c r="D31" i="152" s="1"/>
  <c r="D100" i="152"/>
  <c r="D93" i="152"/>
  <c r="D82" i="152"/>
  <c r="D7" i="152" s="1"/>
  <c r="D75" i="152"/>
  <c r="D23" i="152" s="1"/>
  <c r="D74" i="152"/>
  <c r="D73" i="152"/>
  <c r="D50" i="152"/>
  <c r="D4" i="152" s="1"/>
  <c r="D40" i="152"/>
  <c r="D39" i="152"/>
  <c r="D38" i="152"/>
  <c r="D44" i="155" s="1"/>
  <c r="D34" i="152"/>
  <c r="D33" i="152"/>
  <c r="D30" i="152"/>
  <c r="D27" i="152"/>
  <c r="D26" i="152"/>
  <c r="D25" i="152"/>
  <c r="D21" i="152"/>
  <c r="D20" i="152"/>
  <c r="D19" i="152"/>
  <c r="D17" i="152"/>
  <c r="D15" i="152"/>
  <c r="D8" i="152"/>
  <c r="D202" i="151"/>
  <c r="D201" i="151"/>
  <c r="D24" i="151" s="1"/>
  <c r="D200" i="151"/>
  <c r="D199" i="151"/>
  <c r="D169" i="151"/>
  <c r="D10" i="151" s="1"/>
  <c r="D162" i="151"/>
  <c r="D14" i="151" s="1"/>
  <c r="D16" i="151" s="1"/>
  <c r="D148" i="151"/>
  <c r="D140" i="151"/>
  <c r="D113" i="151"/>
  <c r="D106" i="151"/>
  <c r="D18" i="151" s="1"/>
  <c r="D21" i="151" s="1"/>
  <c r="D105" i="151"/>
  <c r="D70" i="151"/>
  <c r="D63" i="151"/>
  <c r="D29" i="151" s="1"/>
  <c r="D62" i="151"/>
  <c r="D27" i="151" s="1"/>
  <c r="D61" i="151"/>
  <c r="D40" i="151"/>
  <c r="D31" i="151"/>
  <c r="D25" i="151"/>
  <c r="D23" i="151"/>
  <c r="D20" i="151"/>
  <c r="D19" i="151"/>
  <c r="D15" i="151"/>
  <c r="D12" i="151"/>
  <c r="D9" i="151"/>
  <c r="D8" i="151"/>
  <c r="D7" i="151"/>
  <c r="D4" i="151"/>
  <c r="D3" i="151"/>
  <c r="D230" i="150"/>
  <c r="D229" i="150"/>
  <c r="D228" i="150"/>
  <c r="D227" i="150"/>
  <c r="D12" i="150" s="1"/>
  <c r="D200" i="150"/>
  <c r="D193" i="150"/>
  <c r="D192" i="150"/>
  <c r="D15" i="150" s="1"/>
  <c r="D167" i="150"/>
  <c r="D7" i="150" s="1"/>
  <c r="D160" i="150"/>
  <c r="D159" i="150"/>
  <c r="D158" i="150"/>
  <c r="D19" i="150" s="1"/>
  <c r="D126" i="150"/>
  <c r="D6" i="150" s="1"/>
  <c r="D119" i="150"/>
  <c r="D118" i="150"/>
  <c r="D101" i="150"/>
  <c r="D5" i="150" s="1"/>
  <c r="D9" i="150" s="1"/>
  <c r="D94" i="150"/>
  <c r="D25" i="150" s="1"/>
  <c r="D93" i="150"/>
  <c r="D75" i="150"/>
  <c r="D68" i="150"/>
  <c r="D31" i="150" s="1"/>
  <c r="D34" i="150" s="1"/>
  <c r="D67" i="150"/>
  <c r="D11" i="150" s="1"/>
  <c r="D13" i="150" s="1"/>
  <c r="D47" i="150"/>
  <c r="D37" i="150"/>
  <c r="D38" i="150" s="1"/>
  <c r="D36" i="150"/>
  <c r="D33" i="150"/>
  <c r="D32" i="150"/>
  <c r="D29" i="150"/>
  <c r="D27" i="150"/>
  <c r="D26" i="150"/>
  <c r="D22" i="150"/>
  <c r="D21" i="150"/>
  <c r="D23" i="150" s="1"/>
  <c r="D16" i="150"/>
  <c r="D8" i="150"/>
  <c r="D4" i="150"/>
  <c r="D3" i="150"/>
  <c r="B277" i="2" l="1"/>
  <c r="B295" i="2"/>
  <c r="B315" i="2"/>
  <c r="B244" i="2"/>
  <c r="B259" i="2"/>
  <c r="B250" i="2"/>
  <c r="B348" i="2"/>
  <c r="D348" i="2" s="1"/>
  <c r="B334" i="2"/>
  <c r="D334" i="2" s="1"/>
  <c r="B338" i="2"/>
  <c r="D338" i="2" s="1"/>
  <c r="B359" i="2"/>
  <c r="D359" i="2" s="1"/>
  <c r="D3" i="152"/>
  <c r="D5" i="152" s="1"/>
  <c r="D75" i="155"/>
  <c r="D5" i="151"/>
  <c r="D57" i="153"/>
  <c r="D47" i="155"/>
  <c r="D42" i="157"/>
  <c r="D33" i="151"/>
  <c r="D17" i="150"/>
  <c r="D42" i="153"/>
  <c r="D41" i="152"/>
  <c r="D73" i="155"/>
  <c r="D3" i="156"/>
  <c r="D3" i="157"/>
  <c r="D22" i="153"/>
  <c r="D3" i="155"/>
  <c r="D5" i="155" s="1"/>
  <c r="D31" i="156"/>
  <c r="D59" i="157"/>
  <c r="D35" i="152"/>
  <c r="B261" i="2" l="1"/>
  <c r="B351" i="2"/>
  <c r="D351" i="2" s="1"/>
  <c r="B252" i="2"/>
  <c r="B362" i="2"/>
  <c r="D362" i="2" s="1"/>
  <c r="D72" i="153"/>
  <c r="D40" i="150"/>
  <c r="D43" i="152"/>
  <c r="B326" i="2" l="1"/>
  <c r="A3" i="3" l="1"/>
  <c r="B3" i="3"/>
  <c r="A7" i="3"/>
  <c r="A12" i="3"/>
  <c r="B12" i="3"/>
  <c r="A18" i="3"/>
  <c r="B18" i="3"/>
  <c r="A26" i="3"/>
  <c r="B26" i="3"/>
  <c r="A34" i="3"/>
  <c r="B34" i="3"/>
  <c r="A45" i="3"/>
  <c r="B45" i="3"/>
  <c r="A46" i="3"/>
  <c r="B46" i="3"/>
  <c r="A47" i="3"/>
  <c r="B47" i="3"/>
  <c r="A48" i="3"/>
  <c r="B48" i="3"/>
  <c r="A55" i="3"/>
  <c r="B55" i="3"/>
  <c r="A56" i="3"/>
  <c r="B56" i="3"/>
  <c r="A57" i="3"/>
  <c r="B57" i="3"/>
  <c r="A67" i="3"/>
  <c r="A86" i="3"/>
  <c r="B86" i="3"/>
  <c r="A88" i="3"/>
  <c r="B88" i="3"/>
  <c r="A96" i="3"/>
  <c r="B96" i="3"/>
  <c r="A112" i="3"/>
  <c r="B112" i="3"/>
  <c r="A114" i="3"/>
  <c r="B114" i="3"/>
  <c r="A117" i="3"/>
  <c r="B117" i="3"/>
  <c r="A120" i="3"/>
  <c r="B120" i="3"/>
  <c r="A126" i="3"/>
  <c r="A159" i="3"/>
  <c r="B159" i="3"/>
  <c r="A161" i="3"/>
  <c r="B161" i="3"/>
  <c r="A172" i="3"/>
  <c r="B172" i="3"/>
  <c r="A174" i="3"/>
  <c r="B174" i="3"/>
  <c r="A181" i="3"/>
  <c r="B181" i="3"/>
  <c r="A183" i="3"/>
  <c r="B183" i="3"/>
  <c r="A199" i="3"/>
  <c r="B199" i="3"/>
  <c r="A244" i="3"/>
  <c r="B244" i="3"/>
  <c r="A245" i="3"/>
  <c r="B245" i="3"/>
  <c r="A253" i="3"/>
  <c r="B253" i="3"/>
  <c r="A259" i="3"/>
  <c r="B259" i="3"/>
  <c r="A260" i="3"/>
  <c r="B260" i="3"/>
  <c r="A261" i="3"/>
  <c r="B261" i="3"/>
  <c r="A262" i="3"/>
  <c r="B262" i="3"/>
  <c r="A268" i="3"/>
  <c r="B268" i="3"/>
  <c r="A271" i="3"/>
  <c r="B271" i="3"/>
  <c r="A273" i="3"/>
  <c r="B273" i="3"/>
  <c r="A274" i="3"/>
  <c r="B274" i="3"/>
  <c r="A275" i="3"/>
  <c r="B275" i="3"/>
  <c r="A277" i="3"/>
  <c r="B277" i="3"/>
  <c r="A306" i="3"/>
  <c r="B306" i="3"/>
  <c r="A327" i="3"/>
  <c r="B327" i="3"/>
  <c r="A332" i="3"/>
  <c r="B332" i="3"/>
  <c r="A341" i="3"/>
  <c r="B341" i="3"/>
  <c r="A342" i="3"/>
  <c r="B342" i="3"/>
  <c r="A352" i="3"/>
  <c r="B352" i="3"/>
  <c r="A356" i="3"/>
  <c r="B356" i="3"/>
  <c r="A364" i="3"/>
  <c r="B364" i="3"/>
  <c r="A368" i="3"/>
  <c r="B368" i="3"/>
  <c r="A395" i="3"/>
  <c r="B395" i="3"/>
  <c r="A408" i="3"/>
  <c r="B408" i="3"/>
  <c r="A412" i="3"/>
  <c r="B412" i="3"/>
  <c r="A413" i="3"/>
  <c r="B413" i="3"/>
  <c r="A418" i="3"/>
  <c r="B418" i="3"/>
  <c r="A419" i="3"/>
  <c r="B419" i="3"/>
  <c r="A425" i="3"/>
  <c r="B425" i="3"/>
  <c r="A454" i="3"/>
  <c r="B454" i="3"/>
  <c r="A460" i="3"/>
  <c r="B460" i="3"/>
  <c r="A461" i="3"/>
  <c r="B461" i="3"/>
  <c r="A465" i="3"/>
  <c r="B465" i="3"/>
  <c r="A477" i="3"/>
  <c r="B477" i="3"/>
  <c r="A480" i="3"/>
  <c r="B480" i="3"/>
  <c r="A482" i="3"/>
  <c r="B482" i="3"/>
  <c r="A495" i="3"/>
  <c r="B495" i="3"/>
  <c r="A496" i="3"/>
  <c r="B496" i="3"/>
  <c r="A500" i="3"/>
  <c r="B500" i="3"/>
  <c r="B185" i="2"/>
  <c r="D185" i="2" s="1"/>
  <c r="B186" i="2"/>
  <c r="D186" i="2" s="1"/>
  <c r="B187" i="2"/>
  <c r="D187" i="2" s="1"/>
  <c r="B190" i="2"/>
  <c r="D190" i="2" s="1"/>
  <c r="B191" i="2"/>
  <c r="D191" i="2" s="1"/>
  <c r="B192" i="2"/>
  <c r="D192" i="2" s="1"/>
  <c r="B193" i="2"/>
  <c r="D193" i="2" s="1"/>
  <c r="B194" i="2"/>
  <c r="D194" i="2" s="1"/>
  <c r="B195" i="2"/>
  <c r="D195" i="2" s="1"/>
  <c r="B198" i="2"/>
  <c r="D198" i="2" s="1"/>
  <c r="B199" i="2"/>
  <c r="D199" i="2" s="1"/>
  <c r="B200" i="2"/>
  <c r="D200" i="2" s="1"/>
  <c r="B201" i="2"/>
  <c r="B202" i="2"/>
  <c r="D202" i="2" s="1"/>
  <c r="B203" i="2"/>
  <c r="D203" i="2" s="1"/>
  <c r="B204" i="2"/>
  <c r="D204" i="2" s="1"/>
  <c r="B205" i="2"/>
  <c r="D205" i="2" s="1"/>
  <c r="B206" i="2"/>
  <c r="D206" i="2" s="1"/>
  <c r="B207" i="2"/>
  <c r="D207" i="2" s="1"/>
  <c r="B210" i="2"/>
  <c r="D210" i="2" s="1"/>
  <c r="B211" i="2"/>
  <c r="D211" i="2" s="1"/>
  <c r="B212" i="2"/>
  <c r="D212" i="2" s="1"/>
  <c r="B213" i="2"/>
  <c r="D213" i="2" s="1"/>
  <c r="B214" i="2"/>
  <c r="D214" i="2" s="1"/>
  <c r="B215" i="2"/>
  <c r="D215" i="2" s="1"/>
  <c r="B216" i="2"/>
  <c r="D216" i="2" s="1"/>
  <c r="B217" i="2"/>
  <c r="D217" i="2" s="1"/>
  <c r="B218" i="2"/>
  <c r="D218" i="2" s="1"/>
  <c r="B219" i="2"/>
  <c r="D219" i="2" s="1"/>
  <c r="B220" i="2"/>
  <c r="D220" i="2" s="1"/>
  <c r="B221" i="2"/>
  <c r="D221" i="2" s="1"/>
  <c r="B223" i="2"/>
  <c r="D223" i="2" s="1"/>
  <c r="B224" i="2"/>
  <c r="D224" i="2" s="1"/>
  <c r="B227" i="2"/>
  <c r="D227" i="2" s="1"/>
  <c r="B228" i="2"/>
  <c r="D228" i="2" s="1"/>
  <c r="B229" i="2"/>
  <c r="B230" i="2"/>
  <c r="D230" i="2" s="1"/>
  <c r="B231" i="2"/>
  <c r="D231" i="2" s="1"/>
  <c r="D215" i="147"/>
  <c r="D214" i="147"/>
  <c r="D213" i="147"/>
  <c r="D212" i="147"/>
  <c r="D188" i="147"/>
  <c r="D181" i="147"/>
  <c r="D180" i="147"/>
  <c r="D179" i="147"/>
  <c r="D155" i="147"/>
  <c r="D148" i="147"/>
  <c r="D147" i="147"/>
  <c r="D129" i="147"/>
  <c r="D122" i="147"/>
  <c r="D121" i="147"/>
  <c r="D120" i="147"/>
  <c r="D119" i="147"/>
  <c r="D118" i="147"/>
  <c r="D86" i="147"/>
  <c r="D79" i="147"/>
  <c r="D78" i="147"/>
  <c r="D77" i="147"/>
  <c r="D54" i="147"/>
  <c r="D47" i="147"/>
  <c r="D43" i="147"/>
  <c r="D45" i="147" s="1"/>
  <c r="D41" i="147"/>
  <c r="D38" i="147"/>
  <c r="D37" i="147"/>
  <c r="D39" i="147" s="1"/>
  <c r="D35" i="147"/>
  <c r="D33" i="147"/>
  <c r="D31" i="147"/>
  <c r="D29" i="147"/>
  <c r="D27" i="147"/>
  <c r="D24" i="147"/>
  <c r="D23" i="147"/>
  <c r="D25" i="147" s="1"/>
  <c r="D20" i="147"/>
  <c r="D16" i="147"/>
  <c r="D15" i="147"/>
  <c r="D17" i="147" s="1"/>
  <c r="D13" i="147"/>
  <c r="D11" i="147"/>
  <c r="D49" i="147" s="1"/>
  <c r="D9" i="147"/>
  <c r="D8" i="147"/>
  <c r="D7" i="147"/>
  <c r="D3" i="147" s="1"/>
  <c r="D6" i="147"/>
  <c r="D5" i="147"/>
  <c r="D518" i="146"/>
  <c r="D517" i="146"/>
  <c r="D516" i="146"/>
  <c r="D490" i="146"/>
  <c r="D481" i="146"/>
  <c r="D480" i="146"/>
  <c r="D453" i="146"/>
  <c r="D446" i="146"/>
  <c r="D445" i="146"/>
  <c r="D420" i="146"/>
  <c r="D413" i="146"/>
  <c r="D397" i="146"/>
  <c r="D390" i="146"/>
  <c r="D389" i="146"/>
  <c r="D363" i="146"/>
  <c r="D354" i="146"/>
  <c r="D353" i="146"/>
  <c r="D352" i="146"/>
  <c r="D328" i="146"/>
  <c r="D320" i="146"/>
  <c r="D319" i="146"/>
  <c r="D297" i="146"/>
  <c r="D290" i="146"/>
  <c r="D289" i="146"/>
  <c r="D260" i="146"/>
  <c r="D253" i="146"/>
  <c r="D235" i="146"/>
  <c r="D228" i="146"/>
  <c r="D227" i="146"/>
  <c r="D204" i="146"/>
  <c r="D197" i="146"/>
  <c r="D196" i="146"/>
  <c r="D195" i="146"/>
  <c r="D173" i="146"/>
  <c r="D166" i="146"/>
  <c r="D165" i="146"/>
  <c r="D148" i="146"/>
  <c r="D141" i="146"/>
  <c r="D140" i="146"/>
  <c r="D117" i="146"/>
  <c r="D110" i="146"/>
  <c r="D109" i="146"/>
  <c r="D84" i="146"/>
  <c r="D74" i="146"/>
  <c r="D75" i="146" s="1"/>
  <c r="D73" i="146"/>
  <c r="D70" i="146"/>
  <c r="D44" i="147" s="1"/>
  <c r="D69" i="146"/>
  <c r="D71" i="146" s="1"/>
  <c r="D66" i="146"/>
  <c r="D65" i="146"/>
  <c r="D67" i="146" s="1"/>
  <c r="D63" i="146"/>
  <c r="D62" i="146"/>
  <c r="D61" i="146"/>
  <c r="D59" i="146"/>
  <c r="D56" i="146"/>
  <c r="D55" i="146"/>
  <c r="D54" i="146"/>
  <c r="D53" i="146"/>
  <c r="D57" i="146" s="1"/>
  <c r="D51" i="146"/>
  <c r="D48" i="146"/>
  <c r="D47" i="146"/>
  <c r="D46" i="146"/>
  <c r="D49" i="146" s="1"/>
  <c r="D43" i="146"/>
  <c r="D42" i="146"/>
  <c r="D41" i="146"/>
  <c r="D44" i="146" s="1"/>
  <c r="D39" i="146"/>
  <c r="D36" i="146"/>
  <c r="D35" i="146"/>
  <c r="D37" i="146" s="1"/>
  <c r="D32" i="146"/>
  <c r="D31" i="146"/>
  <c r="D33" i="146" s="1"/>
  <c r="D28" i="146"/>
  <c r="D27" i="146"/>
  <c r="D29" i="146" s="1"/>
  <c r="D25" i="146"/>
  <c r="D22" i="146"/>
  <c r="D21" i="146"/>
  <c r="D23" i="146" s="1"/>
  <c r="D19" i="146"/>
  <c r="D18" i="146"/>
  <c r="D17" i="146"/>
  <c r="D16" i="146"/>
  <c r="D15" i="146"/>
  <c r="D14" i="146"/>
  <c r="D13" i="146"/>
  <c r="D12" i="146"/>
  <c r="D11" i="146"/>
  <c r="D3" i="146" s="1"/>
  <c r="D6" i="146" s="1"/>
  <c r="D10" i="146"/>
  <c r="D9" i="146"/>
  <c r="D8" i="146"/>
  <c r="D5" i="146"/>
  <c r="D4" i="146"/>
  <c r="D421" i="145"/>
  <c r="D420" i="145"/>
  <c r="D419" i="145"/>
  <c r="D418" i="145"/>
  <c r="D391" i="145"/>
  <c r="D384" i="145"/>
  <c r="D383" i="145"/>
  <c r="D382" i="145"/>
  <c r="D359" i="145"/>
  <c r="D352" i="145"/>
  <c r="D351" i="145"/>
  <c r="D350" i="145"/>
  <c r="D349" i="145"/>
  <c r="D328" i="145"/>
  <c r="D321" i="145"/>
  <c r="D320" i="145"/>
  <c r="D319" i="145"/>
  <c r="D318" i="145"/>
  <c r="D295" i="145"/>
  <c r="D288" i="145"/>
  <c r="D287" i="145"/>
  <c r="D286" i="145"/>
  <c r="D264" i="145"/>
  <c r="D257" i="145"/>
  <c r="D256" i="145"/>
  <c r="D255" i="145"/>
  <c r="D233" i="145"/>
  <c r="D226" i="145"/>
  <c r="D225" i="145"/>
  <c r="D224" i="145"/>
  <c r="D202" i="145"/>
  <c r="D195" i="145"/>
  <c r="D194" i="145"/>
  <c r="D193" i="145"/>
  <c r="D192" i="145"/>
  <c r="D191" i="145"/>
  <c r="D190" i="145"/>
  <c r="D156" i="145"/>
  <c r="D149" i="145"/>
  <c r="D148" i="145"/>
  <c r="D147" i="145"/>
  <c r="D128" i="145"/>
  <c r="D121" i="145"/>
  <c r="D120" i="145"/>
  <c r="D119" i="145"/>
  <c r="D97" i="145"/>
  <c r="D90" i="145"/>
  <c r="D89" i="145"/>
  <c r="D88" i="145"/>
  <c r="D86" i="145"/>
  <c r="D84" i="145"/>
  <c r="D82" i="145"/>
  <c r="D80" i="145"/>
  <c r="D77" i="145"/>
  <c r="D76" i="145"/>
  <c r="D78" i="145" s="1"/>
  <c r="D74" i="145"/>
  <c r="D72" i="145"/>
  <c r="D70" i="145"/>
  <c r="D69" i="145"/>
  <c r="D68" i="145"/>
  <c r="D65" i="145"/>
  <c r="D64" i="145"/>
  <c r="D66" i="145" s="1"/>
  <c r="D61" i="145"/>
  <c r="D60" i="145"/>
  <c r="D62" i="145" s="1"/>
  <c r="D58" i="145"/>
  <c r="D56" i="145"/>
  <c r="D54" i="145"/>
  <c r="D52" i="145"/>
  <c r="D50" i="145"/>
  <c r="D49" i="145"/>
  <c r="D48" i="145"/>
  <c r="D46" i="145"/>
  <c r="D44" i="145"/>
  <c r="D43" i="145"/>
  <c r="D42" i="145"/>
  <c r="D40" i="145"/>
  <c r="D39" i="145"/>
  <c r="D38" i="145"/>
  <c r="D36" i="145"/>
  <c r="D33" i="145"/>
  <c r="D29" i="145"/>
  <c r="D28" i="145"/>
  <c r="D30" i="145" s="1"/>
  <c r="D26" i="145"/>
  <c r="D23" i="145"/>
  <c r="D22" i="145"/>
  <c r="D24" i="145" s="1"/>
  <c r="D20" i="145"/>
  <c r="D17" i="145"/>
  <c r="D14" i="145"/>
  <c r="D13" i="145"/>
  <c r="D12" i="145"/>
  <c r="D11" i="145"/>
  <c r="D10" i="145"/>
  <c r="D9" i="145"/>
  <c r="D8" i="145"/>
  <c r="D7" i="145"/>
  <c r="D6" i="145"/>
  <c r="D5" i="145"/>
  <c r="D3" i="145"/>
  <c r="D253" i="144"/>
  <c r="D252" i="144"/>
  <c r="D205" i="144"/>
  <c r="D198" i="144"/>
  <c r="D197" i="144"/>
  <c r="D165" i="144"/>
  <c r="D158" i="144"/>
  <c r="D157" i="144"/>
  <c r="D130" i="144"/>
  <c r="D123" i="144"/>
  <c r="D99" i="144"/>
  <c r="D92" i="144"/>
  <c r="D77" i="144"/>
  <c r="D70" i="144"/>
  <c r="D69" i="144"/>
  <c r="D36" i="144"/>
  <c r="D28" i="144"/>
  <c r="D27" i="144"/>
  <c r="D29" i="144" s="1"/>
  <c r="D24" i="144"/>
  <c r="D23" i="144"/>
  <c r="D25" i="144" s="1"/>
  <c r="D21" i="144"/>
  <c r="D20" i="144"/>
  <c r="D19" i="144"/>
  <c r="D17" i="144"/>
  <c r="D14" i="144"/>
  <c r="D13" i="144"/>
  <c r="D12" i="144"/>
  <c r="D15" i="144" s="1"/>
  <c r="D10" i="144"/>
  <c r="D9" i="144"/>
  <c r="D8" i="144"/>
  <c r="D7" i="144"/>
  <c r="D6" i="144"/>
  <c r="D3" i="144" s="1"/>
  <c r="D5" i="144"/>
  <c r="D232" i="143"/>
  <c r="D231" i="143"/>
  <c r="D207" i="143"/>
  <c r="D200" i="143"/>
  <c r="D199" i="143"/>
  <c r="D176" i="143"/>
  <c r="D169" i="143"/>
  <c r="D168" i="143"/>
  <c r="D167" i="143"/>
  <c r="D166" i="143"/>
  <c r="D165" i="143"/>
  <c r="D117" i="143"/>
  <c r="D110" i="143"/>
  <c r="D109" i="143"/>
  <c r="D108" i="143"/>
  <c r="D21" i="143" s="1"/>
  <c r="B126" i="3" s="1"/>
  <c r="D107" i="143"/>
  <c r="D106" i="143"/>
  <c r="D105" i="143"/>
  <c r="D51" i="143"/>
  <c r="D3" i="143" s="1"/>
  <c r="D40" i="143"/>
  <c r="D39" i="143"/>
  <c r="D41" i="143" s="1"/>
  <c r="D37" i="143"/>
  <c r="D35" i="143"/>
  <c r="D33" i="143"/>
  <c r="D31" i="143"/>
  <c r="D28" i="143"/>
  <c r="D27" i="143"/>
  <c r="D19" i="147" s="1"/>
  <c r="D21" i="147" s="1"/>
  <c r="D24" i="143"/>
  <c r="D23" i="143"/>
  <c r="D25" i="143" s="1"/>
  <c r="D19" i="143"/>
  <c r="D17" i="143"/>
  <c r="D14" i="143"/>
  <c r="D13" i="143"/>
  <c r="D15" i="143" s="1"/>
  <c r="D10" i="143"/>
  <c r="D9" i="143"/>
  <c r="D16" i="145" s="1"/>
  <c r="D18" i="145" s="1"/>
  <c r="B7" i="3" s="1"/>
  <c r="D6" i="143"/>
  <c r="D5" i="143"/>
  <c r="D4" i="143"/>
  <c r="D7" i="143" l="1"/>
  <c r="B184" i="2"/>
  <c r="D184" i="2" s="1"/>
  <c r="B232" i="2"/>
  <c r="D232" i="2" s="1"/>
  <c r="B208" i="2"/>
  <c r="D208" i="2" s="1"/>
  <c r="D201" i="2"/>
  <c r="B188" i="2"/>
  <c r="D188" i="2" s="1"/>
  <c r="D229" i="2"/>
  <c r="B222" i="2"/>
  <c r="D222" i="2" s="1"/>
  <c r="B196" i="2"/>
  <c r="D196" i="2" s="1"/>
  <c r="D92" i="145"/>
  <c r="D77" i="146"/>
  <c r="D31" i="144"/>
  <c r="D11" i="143"/>
  <c r="D29" i="143"/>
  <c r="D43" i="143"/>
  <c r="D32" i="145"/>
  <c r="D34" i="145" s="1"/>
  <c r="B67" i="3" s="1"/>
  <c r="B225" i="2" l="1"/>
  <c r="D225" i="2" s="1"/>
  <c r="B234" i="2" l="1"/>
  <c r="D234" i="2" l="1"/>
  <c r="A16" i="3"/>
  <c r="B16" i="3"/>
  <c r="A17" i="3"/>
  <c r="B17" i="3"/>
  <c r="A23" i="3"/>
  <c r="B23" i="3"/>
  <c r="A31" i="3"/>
  <c r="B31" i="3"/>
  <c r="A64" i="3"/>
  <c r="B64" i="3"/>
  <c r="A65" i="3"/>
  <c r="B65" i="3"/>
  <c r="A90" i="3"/>
  <c r="B90" i="3"/>
  <c r="A119" i="3"/>
  <c r="B119" i="3"/>
  <c r="A138" i="3"/>
  <c r="B138" i="3"/>
  <c r="A139" i="3"/>
  <c r="B139" i="3"/>
  <c r="A140" i="3"/>
  <c r="B140" i="3"/>
  <c r="A141" i="3"/>
  <c r="B141" i="3"/>
  <c r="A156" i="3"/>
  <c r="B156" i="3"/>
  <c r="A162" i="3"/>
  <c r="B162" i="3"/>
  <c r="A187" i="3"/>
  <c r="B187" i="3"/>
  <c r="A193" i="3"/>
  <c r="B193" i="3"/>
  <c r="A194" i="3"/>
  <c r="B194" i="3"/>
  <c r="A198" i="3"/>
  <c r="B198" i="3"/>
  <c r="A204" i="3"/>
  <c r="B204" i="3"/>
  <c r="A226" i="3"/>
  <c r="B226" i="3"/>
  <c r="A234" i="3"/>
  <c r="B234" i="3"/>
  <c r="A240" i="3"/>
  <c r="B240" i="3"/>
  <c r="A241" i="3"/>
  <c r="B241" i="3"/>
  <c r="A242" i="3"/>
  <c r="B242" i="3"/>
  <c r="A246" i="3"/>
  <c r="B246" i="3"/>
  <c r="A247" i="3"/>
  <c r="B247" i="3"/>
  <c r="A248" i="3"/>
  <c r="B248" i="3"/>
  <c r="A249" i="3"/>
  <c r="B249" i="3"/>
  <c r="A296" i="3"/>
  <c r="B296" i="3"/>
  <c r="A336" i="3"/>
  <c r="B336" i="3"/>
  <c r="A343" i="3"/>
  <c r="B343" i="3"/>
  <c r="A350" i="3"/>
  <c r="B350" i="3"/>
  <c r="A357" i="3"/>
  <c r="B357" i="3"/>
  <c r="A358" i="3"/>
  <c r="B358" i="3"/>
  <c r="A366" i="3"/>
  <c r="B366" i="3"/>
  <c r="A367" i="3"/>
  <c r="B367" i="3"/>
  <c r="A369" i="3"/>
  <c r="B369" i="3"/>
  <c r="A371" i="3"/>
  <c r="B371" i="3"/>
  <c r="A372" i="3"/>
  <c r="B372" i="3"/>
  <c r="A373" i="3"/>
  <c r="B373" i="3"/>
  <c r="A374" i="3"/>
  <c r="B374" i="3"/>
  <c r="A375" i="3"/>
  <c r="B375" i="3"/>
  <c r="A377" i="3"/>
  <c r="B377" i="3"/>
  <c r="A381" i="3"/>
  <c r="B381" i="3"/>
  <c r="A410" i="3"/>
  <c r="B410" i="3"/>
  <c r="A441" i="3"/>
  <c r="B441" i="3"/>
  <c r="A453" i="3"/>
  <c r="B453" i="3"/>
  <c r="A471" i="3"/>
  <c r="B471" i="3"/>
  <c r="A502" i="3"/>
  <c r="B502" i="3"/>
  <c r="A503" i="3"/>
  <c r="B503" i="3"/>
  <c r="B433" i="2"/>
  <c r="D433" i="2" s="1"/>
  <c r="B434" i="2"/>
  <c r="D434" i="2" s="1"/>
  <c r="B435" i="2"/>
  <c r="D435" i="2" s="1"/>
  <c r="B436" i="2"/>
  <c r="D436" i="2" s="1"/>
  <c r="B439" i="2"/>
  <c r="D439" i="2" s="1"/>
  <c r="B440" i="2"/>
  <c r="D440" i="2" s="1"/>
  <c r="B441" i="2"/>
  <c r="D441" i="2" s="1"/>
  <c r="B442" i="2"/>
  <c r="D442" i="2" s="1"/>
  <c r="B443" i="2"/>
  <c r="D443" i="2" s="1"/>
  <c r="B444" i="2"/>
  <c r="D444" i="2" s="1"/>
  <c r="B445" i="2"/>
  <c r="D445" i="2" s="1"/>
  <c r="B447" i="2"/>
  <c r="D447" i="2" s="1"/>
  <c r="B450" i="2"/>
  <c r="D450" i="2" s="1"/>
  <c r="B451" i="2"/>
  <c r="D451" i="2" s="1"/>
  <c r="B452" i="2"/>
  <c r="D452" i="2" s="1"/>
  <c r="B453" i="2"/>
  <c r="D453" i="2" s="1"/>
  <c r="B456" i="2"/>
  <c r="D456" i="2" s="1"/>
  <c r="B457" i="2"/>
  <c r="D457" i="2" s="1"/>
  <c r="B458" i="2"/>
  <c r="D458" i="2" s="1"/>
  <c r="B459" i="2"/>
  <c r="D459" i="2" s="1"/>
  <c r="B460" i="2"/>
  <c r="D460" i="2" s="1"/>
  <c r="D261" i="140"/>
  <c r="D260" i="140"/>
  <c r="D259" i="140"/>
  <c r="D258" i="140"/>
  <c r="D12" i="140" s="1"/>
  <c r="D13" i="139" s="1"/>
  <c r="D14" i="139" s="1"/>
  <c r="D235" i="140"/>
  <c r="D228" i="140"/>
  <c r="D227" i="140"/>
  <c r="D226" i="140"/>
  <c r="D47" i="140" s="1"/>
  <c r="D225" i="140"/>
  <c r="D224" i="140"/>
  <c r="D223" i="140"/>
  <c r="D222" i="140"/>
  <c r="D31" i="140" s="1"/>
  <c r="D221" i="140"/>
  <c r="D186" i="140"/>
  <c r="D178" i="140"/>
  <c r="D177" i="140"/>
  <c r="D37" i="140" s="1"/>
  <c r="D176" i="140"/>
  <c r="D175" i="140"/>
  <c r="D174" i="140"/>
  <c r="D149" i="140"/>
  <c r="D7" i="140" s="1"/>
  <c r="D142" i="140"/>
  <c r="D141" i="140"/>
  <c r="D122" i="140"/>
  <c r="D114" i="140"/>
  <c r="D65" i="140" s="1"/>
  <c r="D67" i="140" s="1"/>
  <c r="D113" i="140"/>
  <c r="D112" i="140"/>
  <c r="D111" i="140"/>
  <c r="D110" i="140"/>
  <c r="D33" i="140" s="1"/>
  <c r="D35" i="140" s="1"/>
  <c r="D109" i="140"/>
  <c r="D108" i="140"/>
  <c r="D76" i="140"/>
  <c r="D69" i="140"/>
  <c r="D66" i="140"/>
  <c r="D63" i="140"/>
  <c r="D62" i="140"/>
  <c r="D61" i="140"/>
  <c r="D59" i="140"/>
  <c r="D58" i="140"/>
  <c r="D57" i="140"/>
  <c r="D54" i="140"/>
  <c r="D22" i="138" s="1"/>
  <c r="D50" i="140"/>
  <c r="D45" i="140"/>
  <c r="D43" i="140"/>
  <c r="D41" i="140"/>
  <c r="D39" i="140"/>
  <c r="D34" i="140"/>
  <c r="D29" i="140"/>
  <c r="D26" i="140"/>
  <c r="D23" i="140"/>
  <c r="D21" i="140"/>
  <c r="D19" i="140"/>
  <c r="D16" i="140"/>
  <c r="D15" i="140"/>
  <c r="D17" i="140" s="1"/>
  <c r="D9" i="140"/>
  <c r="D8" i="140"/>
  <c r="D6" i="140"/>
  <c r="D5" i="140"/>
  <c r="D196" i="139"/>
  <c r="D195" i="139"/>
  <c r="D194" i="139"/>
  <c r="D41" i="139" s="1"/>
  <c r="D193" i="139"/>
  <c r="D192" i="139"/>
  <c r="D191" i="139"/>
  <c r="D161" i="139"/>
  <c r="D8" i="139" s="1"/>
  <c r="D153" i="139"/>
  <c r="D152" i="139"/>
  <c r="D44" i="139" s="1"/>
  <c r="D46" i="139" s="1"/>
  <c r="D151" i="139"/>
  <c r="D150" i="139"/>
  <c r="D32" i="139" s="1"/>
  <c r="D149" i="139"/>
  <c r="D126" i="139"/>
  <c r="D119" i="139"/>
  <c r="D118" i="139"/>
  <c r="D22" i="139" s="1"/>
  <c r="D117" i="139"/>
  <c r="D94" i="139"/>
  <c r="D6" i="139" s="1"/>
  <c r="D87" i="139"/>
  <c r="D86" i="139"/>
  <c r="D40" i="139" s="1"/>
  <c r="D42" i="139" s="1"/>
  <c r="D85" i="139"/>
  <c r="D24" i="139" s="1"/>
  <c r="D26" i="139" s="1"/>
  <c r="D84" i="139"/>
  <c r="D83" i="139"/>
  <c r="D82" i="139"/>
  <c r="D10" i="139" s="1"/>
  <c r="D59" i="139"/>
  <c r="D51" i="139"/>
  <c r="D50" i="139"/>
  <c r="D52" i="139" s="1"/>
  <c r="D48" i="139"/>
  <c r="D45" i="139"/>
  <c r="D37" i="139"/>
  <c r="D38" i="139" s="1"/>
  <c r="D36" i="139"/>
  <c r="D34" i="139"/>
  <c r="D29" i="139"/>
  <c r="D28" i="139"/>
  <c r="D30" i="139" s="1"/>
  <c r="D25" i="139"/>
  <c r="D20" i="139"/>
  <c r="D17" i="139"/>
  <c r="D16" i="139"/>
  <c r="D12" i="139"/>
  <c r="D11" i="140" s="1"/>
  <c r="D13" i="140" s="1"/>
  <c r="D7" i="139"/>
  <c r="D5" i="139"/>
  <c r="D3" i="139" s="1"/>
  <c r="D308" i="138"/>
  <c r="D307" i="138"/>
  <c r="D306" i="138"/>
  <c r="D17" i="138" s="1"/>
  <c r="D19" i="138" s="1"/>
  <c r="D285" i="138"/>
  <c r="D278" i="138"/>
  <c r="D41" i="138" s="1"/>
  <c r="D277" i="138"/>
  <c r="D250" i="138"/>
  <c r="D12" i="138" s="1"/>
  <c r="D243" i="138"/>
  <c r="D221" i="138"/>
  <c r="D11" i="138" s="1"/>
  <c r="D214" i="138"/>
  <c r="D188" i="138"/>
  <c r="D10" i="138" s="1"/>
  <c r="D181" i="138"/>
  <c r="D180" i="138"/>
  <c r="D31" i="138" s="1"/>
  <c r="D179" i="138"/>
  <c r="D142" i="138"/>
  <c r="D9" i="138" s="1"/>
  <c r="D135" i="138"/>
  <c r="D134" i="138"/>
  <c r="D25" i="138" s="1"/>
  <c r="D115" i="138"/>
  <c r="D107" i="138"/>
  <c r="D35" i="138" s="1"/>
  <c r="D37" i="138" s="1"/>
  <c r="D86" i="138"/>
  <c r="D79" i="138"/>
  <c r="D78" i="138"/>
  <c r="D55" i="138"/>
  <c r="D4" i="138" s="1"/>
  <c r="D46" i="138"/>
  <c r="D44" i="138"/>
  <c r="D42" i="138"/>
  <c r="D40" i="138"/>
  <c r="D39" i="138"/>
  <c r="D36" i="138"/>
  <c r="D32" i="138"/>
  <c r="D29" i="138"/>
  <c r="D26" i="138"/>
  <c r="D21" i="138"/>
  <c r="D18" i="138"/>
  <c r="D15" i="138"/>
  <c r="D13" i="138"/>
  <c r="D8" i="138"/>
  <c r="D7" i="138"/>
  <c r="D158" i="137"/>
  <c r="D157" i="137"/>
  <c r="D156" i="137"/>
  <c r="D137" i="137"/>
  <c r="D130" i="137"/>
  <c r="D129" i="137"/>
  <c r="D17" i="137" s="1"/>
  <c r="D112" i="137"/>
  <c r="D105" i="137"/>
  <c r="D104" i="137"/>
  <c r="D103" i="137"/>
  <c r="D25" i="137" s="1"/>
  <c r="D78" i="137"/>
  <c r="D71" i="137"/>
  <c r="D27" i="137" s="1"/>
  <c r="D29" i="137" s="1"/>
  <c r="D70" i="137"/>
  <c r="D69" i="137"/>
  <c r="D11" i="137" s="1"/>
  <c r="D68" i="137"/>
  <c r="D40" i="137"/>
  <c r="D3" i="137" s="1"/>
  <c r="D31" i="137"/>
  <c r="D28" i="137"/>
  <c r="D23" i="137"/>
  <c r="D21" i="137"/>
  <c r="D18" i="137"/>
  <c r="D14" i="137"/>
  <c r="D13" i="137"/>
  <c r="D15" i="137" s="1"/>
  <c r="D9" i="137"/>
  <c r="D6" i="137"/>
  <c r="D5" i="137"/>
  <c r="D4" i="137"/>
  <c r="B461" i="2" l="1"/>
  <c r="D461" i="2" s="1"/>
  <c r="B446" i="2"/>
  <c r="D446" i="2" s="1"/>
  <c r="B437" i="2"/>
  <c r="D437" i="2" s="1"/>
  <c r="B454" i="2"/>
  <c r="D454" i="2" s="1"/>
  <c r="D54" i="139"/>
  <c r="D71" i="140"/>
  <c r="D3" i="138"/>
  <c r="D5" i="138" s="1"/>
  <c r="D25" i="140"/>
  <c r="D27" i="140" s="1"/>
  <c r="D18" i="139"/>
  <c r="D49" i="140"/>
  <c r="D51" i="140" s="1"/>
  <c r="D53" i="140"/>
  <c r="D55" i="140" s="1"/>
  <c r="D23" i="138"/>
  <c r="D19" i="137"/>
  <c r="D7" i="137"/>
  <c r="D27" i="138"/>
  <c r="D33" i="138"/>
  <c r="D3" i="140"/>
  <c r="B448" i="2" l="1"/>
  <c r="D448" i="2" s="1"/>
  <c r="D48" i="138"/>
  <c r="D33" i="137"/>
  <c r="B463" i="2" l="1"/>
  <c r="D463" i="2" s="1"/>
  <c r="A15" i="3"/>
  <c r="B15" i="3"/>
  <c r="A24" i="3"/>
  <c r="B24" i="3"/>
  <c r="A27" i="3"/>
  <c r="B27" i="3"/>
  <c r="A29" i="3"/>
  <c r="B29" i="3"/>
  <c r="A62" i="3"/>
  <c r="B62" i="3"/>
  <c r="A68" i="3"/>
  <c r="B68" i="3"/>
  <c r="A81" i="3"/>
  <c r="B81" i="3"/>
  <c r="A91" i="3"/>
  <c r="B91" i="3"/>
  <c r="A97" i="3"/>
  <c r="B97" i="3"/>
  <c r="A109" i="3"/>
  <c r="B109" i="3"/>
  <c r="A111" i="3"/>
  <c r="B111" i="3"/>
  <c r="A113" i="3"/>
  <c r="B113" i="3"/>
  <c r="A116" i="3"/>
  <c r="B116" i="3"/>
  <c r="A127" i="3"/>
  <c r="B127" i="3"/>
  <c r="A128" i="3"/>
  <c r="B128" i="3"/>
  <c r="A129" i="3"/>
  <c r="B129" i="3"/>
  <c r="A130" i="3"/>
  <c r="B130" i="3"/>
  <c r="A145" i="3"/>
  <c r="B145" i="3"/>
  <c r="A147" i="3"/>
  <c r="B147" i="3"/>
  <c r="A148" i="3"/>
  <c r="B148" i="3"/>
  <c r="A152" i="3"/>
  <c r="B152" i="3"/>
  <c r="A160" i="3"/>
  <c r="B160" i="3"/>
  <c r="A163" i="3"/>
  <c r="B163" i="3"/>
  <c r="A164" i="3"/>
  <c r="B164" i="3"/>
  <c r="A168" i="3"/>
  <c r="B168" i="3"/>
  <c r="A175" i="3"/>
  <c r="B175" i="3"/>
  <c r="A177" i="3"/>
  <c r="B177" i="3"/>
  <c r="A178" i="3"/>
  <c r="B178" i="3"/>
  <c r="A180" i="3"/>
  <c r="B180" i="3"/>
  <c r="A192" i="3"/>
  <c r="B192" i="3"/>
  <c r="A196" i="3"/>
  <c r="B196" i="3"/>
  <c r="A197" i="3"/>
  <c r="B197" i="3"/>
  <c r="A200" i="3"/>
  <c r="B200" i="3"/>
  <c r="A201" i="3"/>
  <c r="B201" i="3"/>
  <c r="A205" i="3"/>
  <c r="B205" i="3"/>
  <c r="A210" i="3"/>
  <c r="B210" i="3"/>
  <c r="A212" i="3"/>
  <c r="B212" i="3"/>
  <c r="A220" i="3"/>
  <c r="B220" i="3"/>
  <c r="A222" i="3"/>
  <c r="B222" i="3"/>
  <c r="A223" i="3"/>
  <c r="B223" i="3"/>
  <c r="A224" i="3"/>
  <c r="B224" i="3"/>
  <c r="A228" i="3"/>
  <c r="B228" i="3"/>
  <c r="A232" i="3"/>
  <c r="B232" i="3"/>
  <c r="A236" i="3"/>
  <c r="B236" i="3"/>
  <c r="A237" i="3"/>
  <c r="B237" i="3"/>
  <c r="A239" i="3"/>
  <c r="B239" i="3"/>
  <c r="A255" i="3"/>
  <c r="B255" i="3"/>
  <c r="A256" i="3"/>
  <c r="B256" i="3"/>
  <c r="A278" i="3"/>
  <c r="B278" i="3"/>
  <c r="A326" i="3"/>
  <c r="B326" i="3"/>
  <c r="A328" i="3"/>
  <c r="B328" i="3"/>
  <c r="A331" i="3"/>
  <c r="B331" i="3"/>
  <c r="A338" i="3"/>
  <c r="B338" i="3"/>
  <c r="A344" i="3"/>
  <c r="B344" i="3"/>
  <c r="A351" i="3"/>
  <c r="B351" i="3"/>
  <c r="A355" i="3"/>
  <c r="B355" i="3"/>
  <c r="A360" i="3"/>
  <c r="B360" i="3"/>
  <c r="A404" i="3"/>
  <c r="B404" i="3"/>
  <c r="A424" i="3"/>
  <c r="B424" i="3"/>
  <c r="A431" i="3"/>
  <c r="B431" i="3"/>
  <c r="A445" i="3"/>
  <c r="B445" i="3"/>
  <c r="A448" i="3"/>
  <c r="B448" i="3"/>
  <c r="A451" i="3"/>
  <c r="B451" i="3"/>
  <c r="A456" i="3"/>
  <c r="B456" i="3"/>
  <c r="A470" i="3"/>
  <c r="B470" i="3"/>
  <c r="A483" i="3"/>
  <c r="B483" i="3"/>
  <c r="A484" i="3"/>
  <c r="B484" i="3"/>
  <c r="A493" i="3"/>
  <c r="B493" i="3"/>
  <c r="B125" i="2"/>
  <c r="B126" i="2"/>
  <c r="D126" i="2" s="1"/>
  <c r="B127" i="2"/>
  <c r="D127" i="2" s="1"/>
  <c r="B128" i="2"/>
  <c r="D128" i="2" s="1"/>
  <c r="B129" i="2"/>
  <c r="D129" i="2" s="1"/>
  <c r="B130" i="2"/>
  <c r="D130" i="2" s="1"/>
  <c r="B131" i="2"/>
  <c r="D131" i="2" s="1"/>
  <c r="B132" i="2"/>
  <c r="D132" i="2" s="1"/>
  <c r="B133" i="2"/>
  <c r="D133" i="2" s="1"/>
  <c r="B134" i="2"/>
  <c r="D134" i="2" s="1"/>
  <c r="B135" i="2"/>
  <c r="D135" i="2" s="1"/>
  <c r="B136" i="2"/>
  <c r="D136" i="2" s="1"/>
  <c r="B137" i="2"/>
  <c r="D137" i="2" s="1"/>
  <c r="B138" i="2"/>
  <c r="D138" i="2" s="1"/>
  <c r="B139" i="2"/>
  <c r="D139" i="2" s="1"/>
  <c r="B140" i="2"/>
  <c r="D140" i="2" s="1"/>
  <c r="B141" i="2"/>
  <c r="D141" i="2" s="1"/>
  <c r="B142" i="2"/>
  <c r="D142" i="2" s="1"/>
  <c r="B143" i="2"/>
  <c r="D143" i="2" s="1"/>
  <c r="B144" i="2"/>
  <c r="D144" i="2" s="1"/>
  <c r="B145" i="2"/>
  <c r="D145" i="2" s="1"/>
  <c r="B146" i="2"/>
  <c r="D146" i="2" s="1"/>
  <c r="B147" i="2"/>
  <c r="D147" i="2" s="1"/>
  <c r="B148" i="2"/>
  <c r="D148" i="2" s="1"/>
  <c r="B149" i="2"/>
  <c r="D149" i="2" s="1"/>
  <c r="B150" i="2"/>
  <c r="D150" i="2" s="1"/>
  <c r="B151" i="2"/>
  <c r="D151" i="2" s="1"/>
  <c r="B152" i="2"/>
  <c r="D152" i="2" s="1"/>
  <c r="B153" i="2"/>
  <c r="D153" i="2" s="1"/>
  <c r="B154" i="2"/>
  <c r="D154" i="2" s="1"/>
  <c r="B155" i="2"/>
  <c r="D155" i="2" s="1"/>
  <c r="B156" i="2"/>
  <c r="D156" i="2" s="1"/>
  <c r="B157" i="2"/>
  <c r="D157" i="2" s="1"/>
  <c r="D11" i="134"/>
  <c r="D7" i="134"/>
  <c r="D14" i="134" s="1"/>
  <c r="D3" i="134"/>
  <c r="D14" i="133"/>
  <c r="D10" i="133"/>
  <c r="D6" i="133"/>
  <c r="D17" i="133" s="1"/>
  <c r="D3" i="133"/>
  <c r="D13" i="132"/>
  <c r="D10" i="132"/>
  <c r="D6" i="132"/>
  <c r="D15" i="132" s="1"/>
  <c r="D3" i="132"/>
  <c r="D13" i="131"/>
  <c r="D10" i="131"/>
  <c r="D6" i="131"/>
  <c r="D15" i="131" s="1"/>
  <c r="D3" i="131"/>
  <c r="D8" i="130"/>
  <c r="D5" i="130"/>
  <c r="D11" i="130" s="1"/>
  <c r="D3" i="130"/>
  <c r="D18" i="129"/>
  <c r="D14" i="129"/>
  <c r="D10" i="129"/>
  <c r="D6" i="129"/>
  <c r="D21" i="129" s="1"/>
  <c r="D3" i="129"/>
  <c r="D9" i="128"/>
  <c r="D6" i="128"/>
  <c r="D13" i="128" s="1"/>
  <c r="D3" i="128"/>
  <c r="D20" i="127"/>
  <c r="D19" i="127"/>
  <c r="D9" i="132" s="1"/>
  <c r="D11" i="132" s="1"/>
  <c r="D17" i="127"/>
  <c r="D14" i="127"/>
  <c r="D10" i="127"/>
  <c r="D9" i="127"/>
  <c r="D11" i="127" s="1"/>
  <c r="D6" i="127"/>
  <c r="D23" i="127" s="1"/>
  <c r="D3" i="127"/>
  <c r="D12" i="126"/>
  <c r="D11" i="126"/>
  <c r="D13" i="127" s="1"/>
  <c r="D15" i="127" s="1"/>
  <c r="D9" i="126"/>
  <c r="D6" i="126"/>
  <c r="D5" i="126"/>
  <c r="D5" i="131" s="1"/>
  <c r="D7" i="131" s="1"/>
  <c r="D3" i="126"/>
  <c r="D21" i="125"/>
  <c r="D20" i="125"/>
  <c r="D13" i="133" s="1"/>
  <c r="D15" i="133" s="1"/>
  <c r="D17" i="125"/>
  <c r="D16" i="125"/>
  <c r="D13" i="125"/>
  <c r="D12" i="125"/>
  <c r="D14" i="125" s="1"/>
  <c r="D9" i="125"/>
  <c r="D5" i="125"/>
  <c r="D3" i="125"/>
  <c r="D12" i="124"/>
  <c r="D11" i="124"/>
  <c r="D13" i="124" s="1"/>
  <c r="D9" i="124"/>
  <c r="D6" i="124"/>
  <c r="D3" i="124"/>
  <c r="D25" i="123"/>
  <c r="D24" i="123"/>
  <c r="D8" i="125" s="1"/>
  <c r="D21" i="123"/>
  <c r="D20" i="123"/>
  <c r="D19" i="123"/>
  <c r="D13" i="129" s="1"/>
  <c r="D15" i="129" s="1"/>
  <c r="D17" i="123"/>
  <c r="D15" i="123"/>
  <c r="D14" i="123"/>
  <c r="D13" i="123"/>
  <c r="D9" i="129" s="1"/>
  <c r="D11" i="129" s="1"/>
  <c r="D10" i="123"/>
  <c r="D9" i="123"/>
  <c r="D5" i="129" s="1"/>
  <c r="D7" i="129" s="1"/>
  <c r="D6" i="123"/>
  <c r="D5" i="123"/>
  <c r="D3" i="123"/>
  <c r="D11" i="122"/>
  <c r="D9" i="122"/>
  <c r="D8" i="122"/>
  <c r="D7" i="122"/>
  <c r="D5" i="128" s="1"/>
  <c r="D7" i="128" s="1"/>
  <c r="D5" i="122"/>
  <c r="D13" i="122" s="1"/>
  <c r="D3" i="122"/>
  <c r="D5" i="121"/>
  <c r="D7" i="121" s="1"/>
  <c r="D3" i="121"/>
  <c r="D15" i="120"/>
  <c r="D13" i="120"/>
  <c r="D10" i="120"/>
  <c r="D9" i="120"/>
  <c r="D11" i="120" s="1"/>
  <c r="D6" i="120"/>
  <c r="D3" i="120"/>
  <c r="D12" i="119"/>
  <c r="D11" i="119"/>
  <c r="D13" i="119" s="1"/>
  <c r="D9" i="119"/>
  <c r="D6" i="119"/>
  <c r="D15" i="119" s="1"/>
  <c r="D5" i="119"/>
  <c r="D7" i="119" s="1"/>
  <c r="D3" i="119"/>
  <c r="D12" i="118"/>
  <c r="D12" i="116" s="1"/>
  <c r="D8" i="118"/>
  <c r="D7" i="118"/>
  <c r="D9" i="118" s="1"/>
  <c r="D5" i="118"/>
  <c r="D15" i="118" s="1"/>
  <c r="D3" i="118"/>
  <c r="D12" i="117"/>
  <c r="D8" i="117"/>
  <c r="D14" i="102" s="1"/>
  <c r="D5" i="117"/>
  <c r="D3" i="117"/>
  <c r="D16" i="116"/>
  <c r="D13" i="116"/>
  <c r="D11" i="116"/>
  <c r="D11" i="118" s="1"/>
  <c r="D13" i="118" s="1"/>
  <c r="D8" i="116"/>
  <c r="D6" i="105" s="1"/>
  <c r="D5" i="116"/>
  <c r="D3" i="116"/>
  <c r="D15" i="115"/>
  <c r="D9" i="115"/>
  <c r="D7" i="115"/>
  <c r="D6" i="115"/>
  <c r="D13" i="115" s="1"/>
  <c r="D3" i="115"/>
  <c r="D13" i="114"/>
  <c r="D12" i="114"/>
  <c r="D9" i="114"/>
  <c r="D15" i="114" s="1"/>
  <c r="D6" i="114"/>
  <c r="D3" i="114"/>
  <c r="D12" i="113"/>
  <c r="D11" i="113"/>
  <c r="D9" i="113"/>
  <c r="D6" i="113"/>
  <c r="D5" i="113"/>
  <c r="D3" i="113"/>
  <c r="D12" i="112"/>
  <c r="D7" i="112"/>
  <c r="D5" i="112"/>
  <c r="D3" i="112"/>
  <c r="D19" i="111"/>
  <c r="D18" i="111"/>
  <c r="D17" i="111"/>
  <c r="D5" i="115" s="1"/>
  <c r="D14" i="111"/>
  <c r="D10" i="103" s="1"/>
  <c r="D11" i="111"/>
  <c r="D9" i="111"/>
  <c r="D6" i="111"/>
  <c r="D21" i="111" s="1"/>
  <c r="D3" i="111"/>
  <c r="D23" i="110"/>
  <c r="D20" i="110"/>
  <c r="D19" i="110"/>
  <c r="D21" i="110" s="1"/>
  <c r="D17" i="110"/>
  <c r="D16" i="110"/>
  <c r="D15" i="110"/>
  <c r="D13" i="110"/>
  <c r="D11" i="110"/>
  <c r="D10" i="110"/>
  <c r="D9" i="110"/>
  <c r="D5" i="114" s="1"/>
  <c r="D7" i="114" s="1"/>
  <c r="D6" i="110"/>
  <c r="D7" i="110" s="1"/>
  <c r="D5" i="110"/>
  <c r="D3" i="110"/>
  <c r="D20" i="109"/>
  <c r="D19" i="109"/>
  <c r="D18" i="109"/>
  <c r="D17" i="109"/>
  <c r="D7" i="125" s="1"/>
  <c r="D10" i="125" s="1"/>
  <c r="D15" i="109"/>
  <c r="D12" i="109"/>
  <c r="D9" i="109"/>
  <c r="D6" i="109"/>
  <c r="D3" i="109"/>
  <c r="D7" i="108"/>
  <c r="D6" i="108"/>
  <c r="D6" i="134" s="1"/>
  <c r="D3" i="108"/>
  <c r="D15" i="107"/>
  <c r="D14" i="107"/>
  <c r="D11" i="107"/>
  <c r="D10" i="107"/>
  <c r="D12" i="107" s="1"/>
  <c r="D7" i="107"/>
  <c r="D6" i="107"/>
  <c r="D5" i="107"/>
  <c r="D3" i="107"/>
  <c r="D15" i="106"/>
  <c r="D13" i="106"/>
  <c r="D12" i="106"/>
  <c r="D11" i="106"/>
  <c r="D11" i="109" s="1"/>
  <c r="D13" i="109" s="1"/>
  <c r="D9" i="106"/>
  <c r="D7" i="106"/>
  <c r="D6" i="106"/>
  <c r="D5" i="106"/>
  <c r="D17" i="106" s="1"/>
  <c r="D3" i="106"/>
  <c r="D18" i="105"/>
  <c r="D17" i="105"/>
  <c r="D19" i="105" s="1"/>
  <c r="D15" i="105"/>
  <c r="D14" i="105"/>
  <c r="D13" i="105"/>
  <c r="D15" i="116" s="1"/>
  <c r="D17" i="116" s="1"/>
  <c r="D10" i="105"/>
  <c r="D11" i="105" s="1"/>
  <c r="D9" i="105"/>
  <c r="D10" i="134" s="1"/>
  <c r="D12" i="134" s="1"/>
  <c r="D5" i="105"/>
  <c r="D3" i="105"/>
  <c r="D10" i="104"/>
  <c r="D11" i="104" s="1"/>
  <c r="D9" i="104"/>
  <c r="D11" i="112" s="1"/>
  <c r="D13" i="112" s="1"/>
  <c r="D7" i="104"/>
  <c r="D5" i="104"/>
  <c r="D13" i="104" s="1"/>
  <c r="D3" i="104"/>
  <c r="D17" i="103"/>
  <c r="D14" i="103"/>
  <c r="D15" i="103" s="1"/>
  <c r="D13" i="103"/>
  <c r="D9" i="103"/>
  <c r="D6" i="103"/>
  <c r="D5" i="103"/>
  <c r="D3" i="103"/>
  <c r="D13" i="102"/>
  <c r="D10" i="102"/>
  <c r="D9" i="102"/>
  <c r="D11" i="102" s="1"/>
  <c r="D7" i="102"/>
  <c r="D6" i="102"/>
  <c r="D5" i="102"/>
  <c r="D17" i="102" s="1"/>
  <c r="D3" i="102"/>
  <c r="B159" i="2" l="1"/>
  <c r="D159" i="2" s="1"/>
  <c r="D125" i="2"/>
  <c r="D9" i="131"/>
  <c r="D11" i="131" s="1"/>
  <c r="D13" i="113"/>
  <c r="D18" i="125"/>
  <c r="D9" i="133"/>
  <c r="D11" i="133" s="1"/>
  <c r="D7" i="117"/>
  <c r="D9" i="117" s="1"/>
  <c r="D15" i="102"/>
  <c r="D13" i="111"/>
  <c r="D15" i="111" s="1"/>
  <c r="D11" i="103"/>
  <c r="D15" i="112"/>
  <c r="D15" i="113"/>
  <c r="D7" i="113"/>
  <c r="D5" i="120"/>
  <c r="D7" i="120" s="1"/>
  <c r="D15" i="117"/>
  <c r="D8" i="107"/>
  <c r="D18" i="107"/>
  <c r="D5" i="134"/>
  <c r="D8" i="134" s="1"/>
  <c r="D5" i="108"/>
  <c r="D8" i="108" s="1"/>
  <c r="D22" i="109"/>
  <c r="D5" i="124"/>
  <c r="D7" i="124" s="1"/>
  <c r="D15" i="124"/>
  <c r="D8" i="112"/>
  <c r="D9" i="112" s="1"/>
  <c r="D19" i="103"/>
  <c r="D7" i="116"/>
  <c r="D9" i="116" s="1"/>
  <c r="D7" i="105"/>
  <c r="D21" i="105"/>
  <c r="D16" i="107"/>
  <c r="D19" i="116"/>
  <c r="D7" i="123"/>
  <c r="D5" i="133"/>
  <c r="D7" i="133" s="1"/>
  <c r="D28" i="123"/>
  <c r="D24" i="125"/>
  <c r="D11" i="128"/>
  <c r="D17" i="129"/>
  <c r="D19" i="129" s="1"/>
  <c r="D5" i="132"/>
  <c r="D7" i="132" s="1"/>
  <c r="D5" i="109"/>
  <c r="D7" i="109" s="1"/>
  <c r="D11" i="114"/>
  <c r="D11" i="123"/>
  <c r="D23" i="123"/>
  <c r="D26" i="123" s="1"/>
  <c r="D22" i="125"/>
  <c r="D5" i="127"/>
  <c r="D7" i="127" s="1"/>
  <c r="D21" i="127"/>
  <c r="D5" i="111"/>
  <c r="D7" i="111" s="1"/>
  <c r="D11" i="115"/>
  <c r="D11" i="117"/>
  <c r="D13" i="117" s="1"/>
  <c r="D7" i="126"/>
  <c r="D13" i="126"/>
  <c r="D7" i="130"/>
  <c r="D9" i="130" s="1"/>
  <c r="D7" i="103"/>
  <c r="D15" i="126"/>
  <c r="A19" i="3" l="1"/>
  <c r="B19" i="3"/>
  <c r="A28" i="3"/>
  <c r="B28" i="3"/>
  <c r="A66" i="3"/>
  <c r="B66" i="3"/>
  <c r="A69" i="3"/>
  <c r="B69" i="3"/>
  <c r="A79" i="3"/>
  <c r="B79" i="3"/>
  <c r="A83" i="3"/>
  <c r="B83" i="3"/>
  <c r="A89" i="3"/>
  <c r="B89" i="3"/>
  <c r="A93" i="3"/>
  <c r="B93" i="3"/>
  <c r="A98" i="3"/>
  <c r="B98" i="3"/>
  <c r="A100" i="3"/>
  <c r="B100" i="3"/>
  <c r="A103" i="3"/>
  <c r="B103" i="3"/>
  <c r="A118" i="3"/>
  <c r="B118" i="3"/>
  <c r="A165" i="3"/>
  <c r="B165" i="3"/>
  <c r="A191" i="3"/>
  <c r="B191" i="3"/>
  <c r="A203" i="3"/>
  <c r="B203" i="3"/>
  <c r="A207" i="3"/>
  <c r="B207" i="3"/>
  <c r="A211" i="3"/>
  <c r="B211" i="3"/>
  <c r="A215" i="3"/>
  <c r="B215" i="3"/>
  <c r="A216" i="3"/>
  <c r="B216" i="3"/>
  <c r="A221" i="3"/>
  <c r="B221" i="3"/>
  <c r="A227" i="3"/>
  <c r="B227" i="3"/>
  <c r="A229" i="3"/>
  <c r="B229" i="3"/>
  <c r="A266" i="3"/>
  <c r="B266" i="3"/>
  <c r="A267" i="3"/>
  <c r="B267" i="3"/>
  <c r="A279" i="3"/>
  <c r="B279" i="3"/>
  <c r="A280" i="3"/>
  <c r="B280" i="3"/>
  <c r="A299" i="3"/>
  <c r="B299" i="3"/>
  <c r="A300" i="3"/>
  <c r="B300" i="3"/>
  <c r="A301" i="3"/>
  <c r="B301" i="3"/>
  <c r="A303" i="3"/>
  <c r="B303" i="3"/>
  <c r="A307" i="3"/>
  <c r="B307" i="3"/>
  <c r="A313" i="3"/>
  <c r="B313" i="3"/>
  <c r="A316" i="3"/>
  <c r="B316" i="3"/>
  <c r="A320" i="3"/>
  <c r="B320" i="3"/>
  <c r="A321" i="3"/>
  <c r="B321" i="3"/>
  <c r="A333" i="3"/>
  <c r="B333" i="3"/>
  <c r="A345" i="3"/>
  <c r="B345" i="3"/>
  <c r="A354" i="3"/>
  <c r="B354" i="3"/>
  <c r="A363" i="3"/>
  <c r="B363" i="3"/>
  <c r="A385" i="3"/>
  <c r="B385" i="3"/>
  <c r="A386" i="3"/>
  <c r="B386" i="3"/>
  <c r="A389" i="3"/>
  <c r="B389" i="3"/>
  <c r="A393" i="3"/>
  <c r="B393" i="3"/>
  <c r="A398" i="3"/>
  <c r="B398" i="3"/>
  <c r="A400" i="3"/>
  <c r="B400" i="3"/>
  <c r="A401" i="3"/>
  <c r="B401" i="3"/>
  <c r="A402" i="3"/>
  <c r="B402" i="3"/>
  <c r="A407" i="3"/>
  <c r="B407" i="3"/>
  <c r="A411" i="3"/>
  <c r="B411" i="3"/>
  <c r="A417" i="3"/>
  <c r="B417" i="3"/>
  <c r="A427" i="3"/>
  <c r="B427" i="3"/>
  <c r="A442" i="3"/>
  <c r="B442" i="3"/>
  <c r="A463" i="3"/>
  <c r="B463" i="3"/>
  <c r="A464" i="3"/>
  <c r="B464" i="3"/>
  <c r="A469" i="3"/>
  <c r="B469" i="3"/>
  <c r="A479" i="3"/>
  <c r="B479" i="3"/>
  <c r="A487" i="3"/>
  <c r="B487" i="3"/>
  <c r="B60" i="2"/>
  <c r="D60" i="2" s="1"/>
  <c r="B61" i="2"/>
  <c r="D61" i="2" s="1"/>
  <c r="B62" i="2"/>
  <c r="D62" i="2" s="1"/>
  <c r="B65" i="2"/>
  <c r="D65" i="2" s="1"/>
  <c r="B66" i="2"/>
  <c r="D66" i="2" s="1"/>
  <c r="B67" i="2"/>
  <c r="D67" i="2" s="1"/>
  <c r="B68" i="2"/>
  <c r="D68" i="2" s="1"/>
  <c r="B69" i="2"/>
  <c r="D69" i="2" s="1"/>
  <c r="B71" i="2"/>
  <c r="D71" i="2" s="1"/>
  <c r="B74" i="2"/>
  <c r="D74" i="2" s="1"/>
  <c r="B75" i="2"/>
  <c r="B76" i="2"/>
  <c r="D76" i="2" s="1"/>
  <c r="B77" i="2"/>
  <c r="D77" i="2" s="1"/>
  <c r="B78" i="2"/>
  <c r="D78" i="2" s="1"/>
  <c r="B79" i="2"/>
  <c r="D79" i="2" s="1"/>
  <c r="B80" i="2"/>
  <c r="D80" i="2" s="1"/>
  <c r="B81" i="2"/>
  <c r="D81" i="2" s="1"/>
  <c r="B82" i="2"/>
  <c r="D82" i="2" s="1"/>
  <c r="B83" i="2"/>
  <c r="D83" i="2" s="1"/>
  <c r="B84" i="2"/>
  <c r="D84" i="2" s="1"/>
  <c r="B85" i="2"/>
  <c r="D85" i="2" s="1"/>
  <c r="B87" i="2"/>
  <c r="D87" i="2" s="1"/>
  <c r="B88" i="2"/>
  <c r="D88" i="2" s="1"/>
  <c r="B91" i="2"/>
  <c r="D91" i="2" s="1"/>
  <c r="B92" i="2"/>
  <c r="B93" i="2"/>
  <c r="D93" i="2" s="1"/>
  <c r="B94" i="2"/>
  <c r="D94" i="2" s="1"/>
  <c r="B95" i="2"/>
  <c r="D95" i="2" s="1"/>
  <c r="B96" i="2"/>
  <c r="D96" i="2" s="1"/>
  <c r="B97" i="2"/>
  <c r="D97" i="2" s="1"/>
  <c r="B98" i="2"/>
  <c r="D98" i="2" s="1"/>
  <c r="B99" i="2"/>
  <c r="D99" i="2" s="1"/>
  <c r="B100" i="2"/>
  <c r="D100" i="2" s="1"/>
  <c r="B103" i="2"/>
  <c r="B104" i="2"/>
  <c r="D104" i="2" s="1"/>
  <c r="B105" i="2"/>
  <c r="D105" i="2" s="1"/>
  <c r="B106" i="2"/>
  <c r="D106" i="2" s="1"/>
  <c r="B107" i="2"/>
  <c r="D107" i="2" s="1"/>
  <c r="B108" i="2"/>
  <c r="D108" i="2" s="1"/>
  <c r="B109" i="2"/>
  <c r="D109" i="2" s="1"/>
  <c r="B112" i="2"/>
  <c r="D112" i="2" s="1"/>
  <c r="B113" i="2"/>
  <c r="D113" i="2" s="1"/>
  <c r="B114" i="2"/>
  <c r="D114" i="2" s="1"/>
  <c r="B115" i="2"/>
  <c r="D115" i="2" s="1"/>
  <c r="B116" i="2"/>
  <c r="D116" i="2" s="1"/>
  <c r="B117" i="2"/>
  <c r="D117" i="2" s="1"/>
  <c r="B118" i="2"/>
  <c r="D118" i="2" s="1"/>
  <c r="D278" i="99"/>
  <c r="D277" i="99"/>
  <c r="D252" i="99"/>
  <c r="D11" i="99" s="1"/>
  <c r="D245" i="99"/>
  <c r="D31" i="99" s="1"/>
  <c r="D33" i="99" s="1"/>
  <c r="D244" i="99"/>
  <c r="D216" i="99"/>
  <c r="D209" i="99"/>
  <c r="D38" i="99" s="1"/>
  <c r="D208" i="99"/>
  <c r="D28" i="99" s="1"/>
  <c r="D207" i="99"/>
  <c r="D174" i="99"/>
  <c r="D167" i="99"/>
  <c r="D27" i="99" s="1"/>
  <c r="D166" i="99"/>
  <c r="D18" i="99" s="1"/>
  <c r="D165" i="99"/>
  <c r="D133" i="99"/>
  <c r="D126" i="99"/>
  <c r="D125" i="99"/>
  <c r="D17" i="99" s="1"/>
  <c r="D107" i="99"/>
  <c r="D100" i="99"/>
  <c r="D84" i="99"/>
  <c r="D6" i="99" s="1"/>
  <c r="D76" i="99"/>
  <c r="D26" i="99" s="1"/>
  <c r="D29" i="99" s="1"/>
  <c r="D75" i="99"/>
  <c r="D46" i="99"/>
  <c r="D39" i="99"/>
  <c r="D37" i="99"/>
  <c r="D35" i="99"/>
  <c r="D32" i="99"/>
  <c r="D23" i="99"/>
  <c r="D24" i="99" s="1"/>
  <c r="D22" i="99"/>
  <c r="D19" i="99"/>
  <c r="D14" i="99"/>
  <c r="D13" i="99"/>
  <c r="D10" i="99"/>
  <c r="D9" i="99"/>
  <c r="D8" i="99"/>
  <c r="D3" i="99" s="1"/>
  <c r="D7" i="99"/>
  <c r="D5" i="99"/>
  <c r="D316" i="98"/>
  <c r="D315" i="98"/>
  <c r="D314" i="98"/>
  <c r="D23" i="98" s="1"/>
  <c r="D313" i="98"/>
  <c r="D19" i="98" s="1"/>
  <c r="D275" i="98"/>
  <c r="D268" i="98"/>
  <c r="D267" i="98"/>
  <c r="D252" i="98"/>
  <c r="D10" i="98" s="1"/>
  <c r="D244" i="98"/>
  <c r="D243" i="98"/>
  <c r="D207" i="98"/>
  <c r="D9" i="98" s="1"/>
  <c r="D199" i="98"/>
  <c r="D198" i="98"/>
  <c r="D154" i="98"/>
  <c r="D147" i="98"/>
  <c r="D18" i="98" s="1"/>
  <c r="D20" i="98" s="1"/>
  <c r="D128" i="98"/>
  <c r="D121" i="98"/>
  <c r="D120" i="98"/>
  <c r="D119" i="98"/>
  <c r="D14" i="98" s="1"/>
  <c r="D90" i="98"/>
  <c r="D83" i="98"/>
  <c r="D82" i="98"/>
  <c r="D81" i="98"/>
  <c r="D13" i="98" s="1"/>
  <c r="D52" i="98"/>
  <c r="D5" i="98" s="1"/>
  <c r="D44" i="98"/>
  <c r="D42" i="98"/>
  <c r="D40" i="98"/>
  <c r="D38" i="98"/>
  <c r="D37" i="98"/>
  <c r="D36" i="98"/>
  <c r="D33" i="98"/>
  <c r="D32" i="98"/>
  <c r="D34" i="98" s="1"/>
  <c r="D30" i="98"/>
  <c r="D27" i="98"/>
  <c r="D26" i="98"/>
  <c r="D28" i="98" s="1"/>
  <c r="D22" i="98"/>
  <c r="D24" i="98" s="1"/>
  <c r="D15" i="98"/>
  <c r="D16" i="98" s="1"/>
  <c r="D11" i="98"/>
  <c r="D8" i="98"/>
  <c r="D7" i="98"/>
  <c r="D6" i="98"/>
  <c r="D345" i="97"/>
  <c r="D58" i="97" s="1"/>
  <c r="D344" i="97"/>
  <c r="D325" i="97"/>
  <c r="D318" i="97"/>
  <c r="D304" i="97"/>
  <c r="D297" i="97"/>
  <c r="D53" i="97" s="1"/>
  <c r="D296" i="97"/>
  <c r="D295" i="97"/>
  <c r="D294" i="97"/>
  <c r="D28" i="97" s="1"/>
  <c r="D293" i="97"/>
  <c r="D22" i="97" s="1"/>
  <c r="D278" i="97"/>
  <c r="D270" i="97"/>
  <c r="D255" i="97"/>
  <c r="D11" i="97" s="1"/>
  <c r="D246" i="97"/>
  <c r="D44" i="97" s="1"/>
  <c r="D46" i="97" s="1"/>
  <c r="D245" i="97"/>
  <c r="D223" i="97"/>
  <c r="D216" i="97"/>
  <c r="D49" i="97" s="1"/>
  <c r="D215" i="97"/>
  <c r="D36" i="97" s="1"/>
  <c r="D24" i="95" s="1"/>
  <c r="D214" i="97"/>
  <c r="D188" i="97"/>
  <c r="D181" i="97"/>
  <c r="D27" i="97" s="1"/>
  <c r="D164" i="97"/>
  <c r="D8" i="97" s="1"/>
  <c r="D156" i="97"/>
  <c r="D155" i="97"/>
  <c r="D154" i="97"/>
  <c r="D153" i="97"/>
  <c r="D152" i="97"/>
  <c r="D120" i="97"/>
  <c r="D113" i="97"/>
  <c r="D112" i="97"/>
  <c r="D21" i="97" s="1"/>
  <c r="D85" i="97"/>
  <c r="D78" i="97"/>
  <c r="D66" i="97"/>
  <c r="D57" i="97"/>
  <c r="D59" i="97" s="1"/>
  <c r="D55" i="97"/>
  <c r="D54" i="97"/>
  <c r="D50" i="97"/>
  <c r="D51" i="97" s="1"/>
  <c r="D48" i="97"/>
  <c r="D45" i="97"/>
  <c r="D41" i="97"/>
  <c r="D40" i="97"/>
  <c r="D42" i="97" s="1"/>
  <c r="D35" i="97"/>
  <c r="D32" i="97"/>
  <c r="D31" i="97"/>
  <c r="D33" i="97" s="1"/>
  <c r="D29" i="97"/>
  <c r="D25" i="97"/>
  <c r="D23" i="97"/>
  <c r="D19" i="97"/>
  <c r="D18" i="97"/>
  <c r="D17" i="97"/>
  <c r="D16" i="97"/>
  <c r="D14" i="97"/>
  <c r="D13" i="97"/>
  <c r="D12" i="97"/>
  <c r="D10" i="97"/>
  <c r="D9" i="97"/>
  <c r="D7" i="97"/>
  <c r="D6" i="97"/>
  <c r="D5" i="97"/>
  <c r="D523" i="96"/>
  <c r="D499" i="96"/>
  <c r="D492" i="96"/>
  <c r="D491" i="96"/>
  <c r="D454" i="96"/>
  <c r="D447" i="96"/>
  <c r="D57" i="96" s="1"/>
  <c r="D446" i="96"/>
  <c r="D425" i="96"/>
  <c r="D418" i="96"/>
  <c r="D417" i="96"/>
  <c r="D53" i="96" s="1"/>
  <c r="D398" i="96"/>
  <c r="D391" i="96"/>
  <c r="D378" i="96"/>
  <c r="D370" i="96"/>
  <c r="D42" i="96" s="1"/>
  <c r="D369" i="96"/>
  <c r="D40" i="96" s="1"/>
  <c r="D368" i="96"/>
  <c r="D334" i="96"/>
  <c r="D327" i="96"/>
  <c r="D48" i="96" s="1"/>
  <c r="D326" i="96"/>
  <c r="D297" i="96"/>
  <c r="D289" i="96"/>
  <c r="D288" i="96"/>
  <c r="D52" i="96" s="1"/>
  <c r="D287" i="96"/>
  <c r="D286" i="96"/>
  <c r="D285" i="96"/>
  <c r="D259" i="96"/>
  <c r="D252" i="96"/>
  <c r="D251" i="96"/>
  <c r="D235" i="96"/>
  <c r="D228" i="96"/>
  <c r="D227" i="96"/>
  <c r="D210" i="96"/>
  <c r="D203" i="96"/>
  <c r="D202" i="96"/>
  <c r="D201" i="96"/>
  <c r="D173" i="96"/>
  <c r="D165" i="96"/>
  <c r="D164" i="96"/>
  <c r="D163" i="96"/>
  <c r="D145" i="96"/>
  <c r="D138" i="96"/>
  <c r="D137" i="96"/>
  <c r="D67" i="96" s="1"/>
  <c r="D115" i="96"/>
  <c r="D5" i="96" s="1"/>
  <c r="D108" i="96"/>
  <c r="D107" i="96"/>
  <c r="D88" i="96"/>
  <c r="D4" i="96" s="1"/>
  <c r="D78" i="96"/>
  <c r="D77" i="96"/>
  <c r="D76" i="96"/>
  <c r="D74" i="96"/>
  <c r="D71" i="96"/>
  <c r="D70" i="96"/>
  <c r="D72" i="96" s="1"/>
  <c r="D66" i="96"/>
  <c r="D65" i="96"/>
  <c r="D68" i="96" s="1"/>
  <c r="D62" i="96"/>
  <c r="D61" i="96"/>
  <c r="D63" i="96" s="1"/>
  <c r="D59" i="96"/>
  <c r="D58" i="96"/>
  <c r="D54" i="96"/>
  <c r="D55" i="96" s="1"/>
  <c r="D49" i="96"/>
  <c r="D50" i="96" s="1"/>
  <c r="D46" i="96"/>
  <c r="D44" i="96"/>
  <c r="D43" i="96"/>
  <c r="D38" i="96"/>
  <c r="D36" i="96"/>
  <c r="D33" i="96"/>
  <c r="D32" i="96"/>
  <c r="D34" i="96" s="1"/>
  <c r="D30" i="96"/>
  <c r="D29" i="96"/>
  <c r="D28" i="96"/>
  <c r="D27" i="96"/>
  <c r="D25" i="96"/>
  <c r="D22" i="96"/>
  <c r="D21" i="96"/>
  <c r="D23" i="96" s="1"/>
  <c r="D19" i="96"/>
  <c r="D18" i="96"/>
  <c r="D17" i="96"/>
  <c r="D16" i="96"/>
  <c r="D15" i="96"/>
  <c r="D14" i="96"/>
  <c r="D13" i="96"/>
  <c r="D12" i="96"/>
  <c r="D11" i="96"/>
  <c r="D10" i="96"/>
  <c r="D9" i="96"/>
  <c r="D8" i="96"/>
  <c r="D3" i="96" s="1"/>
  <c r="D6" i="96" s="1"/>
  <c r="D257" i="95"/>
  <c r="D256" i="95"/>
  <c r="D255" i="95"/>
  <c r="D254" i="95"/>
  <c r="D14" i="95" s="1"/>
  <c r="D218" i="95"/>
  <c r="D11" i="95" s="1"/>
  <c r="D210" i="95"/>
  <c r="D209" i="95"/>
  <c r="D208" i="95"/>
  <c r="D207" i="95"/>
  <c r="D176" i="95"/>
  <c r="D169" i="95"/>
  <c r="D143" i="95"/>
  <c r="D9" i="95" s="1"/>
  <c r="D136" i="95"/>
  <c r="D44" i="95" s="1"/>
  <c r="D43" i="98" s="1"/>
  <c r="D135" i="95"/>
  <c r="D134" i="95"/>
  <c r="D113" i="95"/>
  <c r="D106" i="95"/>
  <c r="D13" i="95" s="1"/>
  <c r="D15" i="95" s="1"/>
  <c r="D90" i="95"/>
  <c r="D82" i="95"/>
  <c r="D81" i="95"/>
  <c r="D29" i="95" s="1"/>
  <c r="D55" i="95"/>
  <c r="D4" i="95" s="1"/>
  <c r="D45" i="95"/>
  <c r="D43" i="95"/>
  <c r="D40" i="95"/>
  <c r="D39" i="95"/>
  <c r="D38" i="95"/>
  <c r="D35" i="95"/>
  <c r="D34" i="95"/>
  <c r="D36" i="95" s="1"/>
  <c r="D32" i="95"/>
  <c r="D28" i="95"/>
  <c r="D25" i="95"/>
  <c r="D37" i="97" s="1"/>
  <c r="D23" i="95"/>
  <c r="D20" i="95"/>
  <c r="D19" i="95"/>
  <c r="D21" i="95" s="1"/>
  <c r="D17" i="95"/>
  <c r="D10" i="95"/>
  <c r="D8" i="95"/>
  <c r="D7" i="95"/>
  <c r="D140" i="94"/>
  <c r="D14" i="94" s="1"/>
  <c r="D16" i="94" s="1"/>
  <c r="D139" i="94"/>
  <c r="D118" i="94"/>
  <c r="D111" i="94"/>
  <c r="D26" i="94" s="1"/>
  <c r="D110" i="94"/>
  <c r="D23" i="94" s="1"/>
  <c r="D24" i="94" s="1"/>
  <c r="D109" i="94"/>
  <c r="D108" i="94"/>
  <c r="D107" i="94"/>
  <c r="D10" i="94" s="1"/>
  <c r="D74" i="94"/>
  <c r="D4" i="94" s="1"/>
  <c r="D67" i="94"/>
  <c r="D66" i="94"/>
  <c r="D65" i="94"/>
  <c r="D8" i="94" s="1"/>
  <c r="D36" i="94"/>
  <c r="D22" i="94"/>
  <c r="D19" i="94"/>
  <c r="D18" i="94"/>
  <c r="D20" i="94" s="1"/>
  <c r="D15" i="94"/>
  <c r="D12" i="94"/>
  <c r="D11" i="94"/>
  <c r="D5" i="94"/>
  <c r="D3" i="94"/>
  <c r="D6" i="94" s="1"/>
  <c r="B86" i="2" l="1"/>
  <c r="D86" i="2" s="1"/>
  <c r="B70" i="2"/>
  <c r="D70" i="2" s="1"/>
  <c r="B110" i="2"/>
  <c r="D110" i="2" s="1"/>
  <c r="D103" i="2"/>
  <c r="B119" i="2"/>
  <c r="D119" i="2" s="1"/>
  <c r="B101" i="2"/>
  <c r="D101" i="2" s="1"/>
  <c r="B63" i="2"/>
  <c r="D63" i="2" s="1"/>
  <c r="D75" i="2"/>
  <c r="D92" i="2"/>
  <c r="B89" i="2"/>
  <c r="D89" i="2" s="1"/>
  <c r="D48" i="95"/>
  <c r="D81" i="96"/>
  <c r="D28" i="94"/>
  <c r="D61" i="97"/>
  <c r="D47" i="98"/>
  <c r="D20" i="99"/>
  <c r="D3" i="97"/>
  <c r="D3" i="98"/>
  <c r="D3" i="95"/>
  <c r="D5" i="95" s="1"/>
  <c r="D30" i="95"/>
  <c r="D46" i="95"/>
  <c r="D38" i="97"/>
  <c r="D45" i="98"/>
  <c r="D26" i="95"/>
  <c r="D41" i="95"/>
  <c r="D79" i="96"/>
  <c r="D15" i="99"/>
  <c r="B72" i="2" l="1"/>
  <c r="D72" i="2" s="1"/>
  <c r="D41" i="99"/>
  <c r="B121" i="2" l="1"/>
  <c r="D121" i="2" s="1"/>
  <c r="A30" i="3"/>
  <c r="B30" i="3"/>
  <c r="A44" i="3"/>
  <c r="B44" i="3"/>
  <c r="A50" i="3"/>
  <c r="B50" i="3"/>
  <c r="A51" i="3"/>
  <c r="B51" i="3"/>
  <c r="A115" i="3"/>
  <c r="A131" i="3"/>
  <c r="B131" i="3"/>
  <c r="A149" i="3"/>
  <c r="A151" i="3"/>
  <c r="B151" i="3"/>
  <c r="A184" i="3"/>
  <c r="B184" i="3"/>
  <c r="A206" i="3"/>
  <c r="B206" i="3"/>
  <c r="A217" i="3"/>
  <c r="B217" i="3"/>
  <c r="A233" i="3"/>
  <c r="B233" i="3"/>
  <c r="A282" i="3"/>
  <c r="B282" i="3"/>
  <c r="A283" i="3"/>
  <c r="B283" i="3"/>
  <c r="A284" i="3"/>
  <c r="B284" i="3"/>
  <c r="A292" i="3"/>
  <c r="B292" i="3"/>
  <c r="A293" i="3"/>
  <c r="B293" i="3"/>
  <c r="A298" i="3"/>
  <c r="A311" i="3"/>
  <c r="B311" i="3"/>
  <c r="A396" i="3"/>
  <c r="A420" i="3"/>
  <c r="B420" i="3"/>
  <c r="A428" i="3"/>
  <c r="B428" i="3"/>
  <c r="A429" i="3"/>
  <c r="B429" i="3"/>
  <c r="A452" i="3"/>
  <c r="B452" i="3"/>
  <c r="A475" i="3"/>
  <c r="B161" i="2"/>
  <c r="D161" i="2" s="1"/>
  <c r="B162" i="2"/>
  <c r="B165" i="2"/>
  <c r="D165" i="2" s="1"/>
  <c r="B166" i="2"/>
  <c r="D166" i="2" s="1"/>
  <c r="B167" i="2"/>
  <c r="D167" i="2" s="1"/>
  <c r="B168" i="2"/>
  <c r="D168" i="2" s="1"/>
  <c r="B171" i="2"/>
  <c r="D171" i="2" s="1"/>
  <c r="B173" i="2"/>
  <c r="B174" i="2"/>
  <c r="D174" i="2" s="1"/>
  <c r="B175" i="2"/>
  <c r="D175" i="2" s="1"/>
  <c r="B177" i="2"/>
  <c r="D177" i="2" s="1"/>
  <c r="D226" i="91"/>
  <c r="D225" i="91"/>
  <c r="D224" i="91"/>
  <c r="D223" i="91"/>
  <c r="D222" i="91"/>
  <c r="D221" i="91"/>
  <c r="D194" i="91"/>
  <c r="D187" i="91"/>
  <c r="D186" i="91"/>
  <c r="D166" i="91"/>
  <c r="D159" i="91"/>
  <c r="D158" i="91"/>
  <c r="D136" i="91"/>
  <c r="D129" i="91"/>
  <c r="D128" i="91"/>
  <c r="D127" i="91"/>
  <c r="D99" i="91"/>
  <c r="D91" i="91"/>
  <c r="D90" i="91"/>
  <c r="D89" i="91"/>
  <c r="D88" i="91"/>
  <c r="D87" i="91"/>
  <c r="D86" i="91"/>
  <c r="D62" i="91"/>
  <c r="D55" i="91"/>
  <c r="D51" i="91"/>
  <c r="D50" i="91"/>
  <c r="D52" i="91" s="1"/>
  <c r="D48" i="91"/>
  <c r="D46" i="91"/>
  <c r="D44" i="91"/>
  <c r="B396" i="3" s="1"/>
  <c r="D42" i="91"/>
  <c r="D39" i="91"/>
  <c r="D34" i="91"/>
  <c r="D32" i="91"/>
  <c r="D29" i="91"/>
  <c r="D28" i="91"/>
  <c r="D27" i="91"/>
  <c r="D30" i="91" s="1"/>
  <c r="D24" i="91"/>
  <c r="D20" i="91"/>
  <c r="D19" i="91"/>
  <c r="D21" i="91" s="1"/>
  <c r="D16" i="91"/>
  <c r="D13" i="91"/>
  <c r="D12" i="91"/>
  <c r="D11" i="91"/>
  <c r="D9" i="91"/>
  <c r="D8" i="91"/>
  <c r="B176" i="2" s="1"/>
  <c r="D176" i="2" s="1"/>
  <c r="D7" i="91"/>
  <c r="D6" i="91"/>
  <c r="D5" i="91"/>
  <c r="D3" i="91"/>
  <c r="D93" i="90"/>
  <c r="D92" i="90"/>
  <c r="D91" i="90"/>
  <c r="D90" i="90"/>
  <c r="D22" i="90"/>
  <c r="D12" i="90"/>
  <c r="D35" i="91" s="1"/>
  <c r="D11" i="90"/>
  <c r="D13" i="90" s="1"/>
  <c r="D9" i="90"/>
  <c r="D7" i="90"/>
  <c r="D5" i="90"/>
  <c r="D15" i="90" s="1"/>
  <c r="D3" i="90"/>
  <c r="D138" i="89"/>
  <c r="D137" i="89"/>
  <c r="D136" i="89"/>
  <c r="D135" i="89"/>
  <c r="D134" i="89"/>
  <c r="D133" i="89"/>
  <c r="D68" i="89"/>
  <c r="D61" i="89"/>
  <c r="D39" i="89"/>
  <c r="D28" i="89"/>
  <c r="D27" i="89"/>
  <c r="D54" i="91" s="1"/>
  <c r="D56" i="91" s="1"/>
  <c r="D24" i="89"/>
  <c r="D23" i="89"/>
  <c r="D38" i="91" s="1"/>
  <c r="D40" i="91" s="1"/>
  <c r="D19" i="89"/>
  <c r="D16" i="89"/>
  <c r="D17" i="89" s="1"/>
  <c r="B149" i="3" s="1"/>
  <c r="D15" i="89"/>
  <c r="D23" i="91" s="1"/>
  <c r="D25" i="91" s="1"/>
  <c r="D13" i="89"/>
  <c r="D10" i="89"/>
  <c r="D11" i="89" s="1"/>
  <c r="B115" i="3" s="1"/>
  <c r="D9" i="89"/>
  <c r="D15" i="91" s="1"/>
  <c r="D17" i="91" s="1"/>
  <c r="D7" i="89"/>
  <c r="D31" i="89" s="1"/>
  <c r="D5" i="89"/>
  <c r="D4" i="89"/>
  <c r="D3" i="89"/>
  <c r="D152" i="88"/>
  <c r="D151" i="88"/>
  <c r="D150" i="88"/>
  <c r="D122" i="88"/>
  <c r="D115" i="88"/>
  <c r="D114" i="88"/>
  <c r="D90" i="88"/>
  <c r="D83" i="88"/>
  <c r="D82" i="88"/>
  <c r="D81" i="88"/>
  <c r="D59" i="88"/>
  <c r="D52" i="88"/>
  <c r="D51" i="88"/>
  <c r="D38" i="88"/>
  <c r="D29" i="88"/>
  <c r="D26" i="88"/>
  <c r="D25" i="88"/>
  <c r="D27" i="88" s="1"/>
  <c r="D22" i="88"/>
  <c r="D21" i="88"/>
  <c r="D23" i="88" s="1"/>
  <c r="D18" i="88"/>
  <c r="D17" i="88"/>
  <c r="D19" i="88" s="1"/>
  <c r="D14" i="88"/>
  <c r="D13" i="88"/>
  <c r="D15" i="88" s="1"/>
  <c r="D10" i="88"/>
  <c r="D9" i="88"/>
  <c r="D11" i="88" s="1"/>
  <c r="D6" i="88"/>
  <c r="D5" i="88"/>
  <c r="D4" i="88"/>
  <c r="D3" i="88"/>
  <c r="D7" i="88" s="1"/>
  <c r="B163" i="2" l="1"/>
  <c r="D163" i="2" s="1"/>
  <c r="B169" i="2"/>
  <c r="D169" i="2" s="1"/>
  <c r="B178" i="2"/>
  <c r="D178" i="2" s="1"/>
  <c r="D173" i="2"/>
  <c r="D162" i="2"/>
  <c r="D31" i="88"/>
  <c r="D58" i="91"/>
  <c r="D36" i="91"/>
  <c r="D29" i="89"/>
  <c r="B475" i="3" s="1"/>
  <c r="D20" i="89"/>
  <c r="D21" i="89" s="1"/>
  <c r="D25" i="89"/>
  <c r="B298" i="3" s="1"/>
  <c r="B180" i="2" l="1"/>
  <c r="D180" i="2" l="1"/>
  <c r="B467" i="2"/>
  <c r="B3" i="2"/>
  <c r="D3" i="2" s="1"/>
  <c r="B4" i="2"/>
  <c r="D4" i="2" s="1"/>
  <c r="B5" i="2"/>
  <c r="D5" i="2" s="1"/>
  <c r="B6" i="2"/>
  <c r="D6" i="2" s="1"/>
  <c r="B7" i="2"/>
  <c r="D7" i="2" s="1"/>
  <c r="B8" i="2"/>
  <c r="D8" i="2" s="1"/>
  <c r="B9" i="2"/>
  <c r="D9" i="2" s="1"/>
  <c r="B10" i="2"/>
  <c r="D10" i="2" s="1"/>
  <c r="B12" i="2"/>
  <c r="D12" i="2" s="1"/>
  <c r="B15" i="2"/>
  <c r="D15" i="2" s="1"/>
  <c r="B16" i="2"/>
  <c r="D16" i="2" s="1"/>
  <c r="B17" i="2"/>
  <c r="D17" i="2" s="1"/>
  <c r="B18" i="2"/>
  <c r="D18" i="2" s="1"/>
  <c r="B19" i="2"/>
  <c r="D19" i="2" s="1"/>
  <c r="B20" i="2"/>
  <c r="D20" i="2" s="1"/>
  <c r="B21" i="2"/>
  <c r="D21" i="2" s="1"/>
  <c r="B23" i="2"/>
  <c r="D23" i="2" s="1"/>
  <c r="B24" i="2"/>
  <c r="D24" i="2" s="1"/>
  <c r="B27" i="2"/>
  <c r="D27" i="2" s="1"/>
  <c r="B28" i="2"/>
  <c r="D28" i="2" s="1"/>
  <c r="B29" i="2"/>
  <c r="D29" i="2" s="1"/>
  <c r="B30" i="2"/>
  <c r="D30" i="2" s="1"/>
  <c r="B31" i="2"/>
  <c r="D31" i="2" s="1"/>
  <c r="B32" i="2"/>
  <c r="D32" i="2" s="1"/>
  <c r="B33" i="2"/>
  <c r="D33" i="2" s="1"/>
  <c r="B36" i="2"/>
  <c r="D36" i="2" s="1"/>
  <c r="B37" i="2"/>
  <c r="D37" i="2" s="1"/>
  <c r="B38" i="2"/>
  <c r="D38" i="2" s="1"/>
  <c r="B39" i="2"/>
  <c r="D39" i="2" s="1"/>
  <c r="B40" i="2"/>
  <c r="D40" i="2" s="1"/>
  <c r="B41" i="2"/>
  <c r="D41" i="2" s="1"/>
  <c r="B42" i="2"/>
  <c r="D42" i="2" s="1"/>
  <c r="B45" i="2"/>
  <c r="D45" i="2" s="1"/>
  <c r="B46" i="2"/>
  <c r="D46" i="2" s="1"/>
  <c r="B47" i="2"/>
  <c r="D47" i="2" s="1"/>
  <c r="B48" i="2"/>
  <c r="D48" i="2" s="1"/>
  <c r="B49" i="2"/>
  <c r="D49" i="2" s="1"/>
  <c r="B50" i="2"/>
  <c r="D50" i="2" s="1"/>
  <c r="B51" i="2"/>
  <c r="D51" i="2" s="1"/>
  <c r="B53" i="2"/>
  <c r="D53" i="2" s="1"/>
  <c r="A6" i="3"/>
  <c r="B6" i="3"/>
  <c r="A8" i="3"/>
  <c r="B8" i="3"/>
  <c r="A10" i="3"/>
  <c r="B10" i="3"/>
  <c r="A21" i="3"/>
  <c r="B21" i="3"/>
  <c r="A54" i="3"/>
  <c r="B54" i="3"/>
  <c r="A58" i="3"/>
  <c r="B58" i="3"/>
  <c r="A59" i="3"/>
  <c r="B59" i="3"/>
  <c r="A84" i="3"/>
  <c r="B84" i="3"/>
  <c r="A101" i="3"/>
  <c r="B101" i="3"/>
  <c r="A107" i="3"/>
  <c r="B107" i="3"/>
  <c r="A121" i="3"/>
  <c r="B121" i="3"/>
  <c r="A133" i="3"/>
  <c r="B133" i="3"/>
  <c r="A134" i="3"/>
  <c r="B134" i="3"/>
  <c r="A135" i="3"/>
  <c r="B135" i="3"/>
  <c r="A136" i="3"/>
  <c r="B136" i="3"/>
  <c r="A167" i="3"/>
  <c r="B167" i="3"/>
  <c r="A182" i="3"/>
  <c r="B182" i="3"/>
  <c r="A189" i="3"/>
  <c r="B189" i="3"/>
  <c r="A202" i="3"/>
  <c r="B202" i="3"/>
  <c r="A218" i="3"/>
  <c r="B218" i="3"/>
  <c r="A238" i="3"/>
  <c r="B238" i="3"/>
  <c r="A250" i="3"/>
  <c r="B250" i="3"/>
  <c r="A251" i="3"/>
  <c r="B251" i="3"/>
  <c r="A252" i="3"/>
  <c r="B252" i="3"/>
  <c r="A258" i="3"/>
  <c r="B258" i="3"/>
  <c r="A263" i="3"/>
  <c r="B263" i="3"/>
  <c r="A264" i="3"/>
  <c r="B264" i="3"/>
  <c r="A276" i="3"/>
  <c r="B276" i="3"/>
  <c r="A290" i="3"/>
  <c r="B290" i="3"/>
  <c r="A315" i="3"/>
  <c r="B315" i="3"/>
  <c r="A318" i="3"/>
  <c r="B318" i="3"/>
  <c r="A319" i="3"/>
  <c r="B319" i="3"/>
  <c r="A322" i="3"/>
  <c r="B322" i="3"/>
  <c r="A323" i="3"/>
  <c r="B323" i="3"/>
  <c r="A324" i="3"/>
  <c r="B324" i="3"/>
  <c r="A362" i="3"/>
  <c r="B362" i="3"/>
  <c r="A376" i="3"/>
  <c r="B376" i="3"/>
  <c r="A382" i="3"/>
  <c r="B382" i="3"/>
  <c r="A387" i="3"/>
  <c r="B387" i="3"/>
  <c r="A391" i="3"/>
  <c r="B391" i="3"/>
  <c r="A392" i="3"/>
  <c r="B392" i="3"/>
  <c r="A394" i="3"/>
  <c r="B394" i="3"/>
  <c r="A467" i="3"/>
  <c r="B467" i="3"/>
  <c r="A472" i="3"/>
  <c r="B472" i="3"/>
  <c r="D328" i="85"/>
  <c r="D327" i="85"/>
  <c r="D326" i="85"/>
  <c r="D299" i="85"/>
  <c r="D292" i="85"/>
  <c r="D291" i="85"/>
  <c r="D268" i="85"/>
  <c r="D261" i="85"/>
  <c r="D223" i="85"/>
  <c r="D216" i="85"/>
  <c r="D215" i="85"/>
  <c r="D194" i="85"/>
  <c r="D187" i="85"/>
  <c r="D186" i="85"/>
  <c r="D185" i="85"/>
  <c r="D163" i="85"/>
  <c r="D156" i="85"/>
  <c r="D155" i="85"/>
  <c r="D128" i="85"/>
  <c r="D121" i="85"/>
  <c r="D120" i="85"/>
  <c r="D95" i="85"/>
  <c r="D88" i="85"/>
  <c r="D87" i="85"/>
  <c r="D86" i="85"/>
  <c r="D85" i="85"/>
  <c r="D84" i="85"/>
  <c r="D62" i="85"/>
  <c r="D52" i="85"/>
  <c r="D51" i="85"/>
  <c r="D53" i="85" s="1"/>
  <c r="D49" i="85"/>
  <c r="D48" i="85"/>
  <c r="D47" i="85"/>
  <c r="D44" i="85"/>
  <c r="D43" i="85"/>
  <c r="D45" i="85" s="1"/>
  <c r="D41" i="85"/>
  <c r="D38" i="85"/>
  <c r="D37" i="85"/>
  <c r="D39" i="85" s="1"/>
  <c r="D34" i="85"/>
  <c r="D33" i="85"/>
  <c r="D32" i="85"/>
  <c r="D35" i="85" s="1"/>
  <c r="D30" i="85"/>
  <c r="D27" i="85"/>
  <c r="D23" i="85"/>
  <c r="D22" i="85"/>
  <c r="D21" i="85"/>
  <c r="D24" i="85" s="1"/>
  <c r="D19" i="85"/>
  <c r="D16" i="85"/>
  <c r="D15" i="85"/>
  <c r="D17" i="85" s="1"/>
  <c r="D55" i="85" s="1"/>
  <c r="D13" i="85"/>
  <c r="D12" i="85"/>
  <c r="D11" i="85"/>
  <c r="D10" i="85"/>
  <c r="D9" i="85"/>
  <c r="D8" i="85"/>
  <c r="D7" i="85"/>
  <c r="D4" i="85"/>
  <c r="D3" i="85"/>
  <c r="D5" i="85" s="1"/>
  <c r="D255" i="84"/>
  <c r="D254" i="84"/>
  <c r="D253" i="84"/>
  <c r="D252" i="84"/>
  <c r="D234" i="84"/>
  <c r="D226" i="84"/>
  <c r="D225" i="84"/>
  <c r="D196" i="84"/>
  <c r="D189" i="84"/>
  <c r="D188" i="84"/>
  <c r="D153" i="84"/>
  <c r="D145" i="84"/>
  <c r="D126" i="84"/>
  <c r="D118" i="84"/>
  <c r="D117" i="84"/>
  <c r="D93" i="84"/>
  <c r="D86" i="84"/>
  <c r="D85" i="84"/>
  <c r="D67" i="84"/>
  <c r="D60" i="84"/>
  <c r="D46" i="84"/>
  <c r="D38" i="84"/>
  <c r="D37" i="84"/>
  <c r="D39" i="84" s="1"/>
  <c r="D35" i="84"/>
  <c r="D34" i="84"/>
  <c r="D33" i="84"/>
  <c r="D30" i="84"/>
  <c r="D29" i="84"/>
  <c r="D31" i="84" s="1"/>
  <c r="D28" i="84"/>
  <c r="D26" i="84"/>
  <c r="D24" i="84"/>
  <c r="D23" i="84"/>
  <c r="D22" i="84"/>
  <c r="D19" i="84"/>
  <c r="D17" i="84"/>
  <c r="D14" i="84"/>
  <c r="D13" i="84"/>
  <c r="D15" i="84" s="1"/>
  <c r="D11" i="84"/>
  <c r="D10" i="84"/>
  <c r="D9" i="84"/>
  <c r="D8" i="84"/>
  <c r="D7" i="84"/>
  <c r="D6" i="84"/>
  <c r="D5" i="84"/>
  <c r="D3" i="84" s="1"/>
  <c r="D262" i="83"/>
  <c r="D240" i="83"/>
  <c r="D233" i="83"/>
  <c r="D232" i="83"/>
  <c r="D231" i="83"/>
  <c r="D199" i="83"/>
  <c r="D192" i="83"/>
  <c r="D172" i="83"/>
  <c r="D165" i="83"/>
  <c r="D164" i="83"/>
  <c r="D163" i="83"/>
  <c r="D135" i="83"/>
  <c r="D128" i="83"/>
  <c r="D115" i="83"/>
  <c r="D108" i="83"/>
  <c r="D28" i="83" s="1"/>
  <c r="D107" i="83"/>
  <c r="D106" i="83"/>
  <c r="D67" i="83"/>
  <c r="D60" i="83"/>
  <c r="D43" i="83"/>
  <c r="D35" i="83"/>
  <c r="D36" i="83" s="1"/>
  <c r="D34" i="83"/>
  <c r="D31" i="83"/>
  <c r="D30" i="83"/>
  <c r="D32" i="83" s="1"/>
  <c r="D25" i="83"/>
  <c r="D24" i="83"/>
  <c r="D26" i="83" s="1"/>
  <c r="D22" i="83"/>
  <c r="D20" i="83"/>
  <c r="D19" i="83"/>
  <c r="D18" i="83"/>
  <c r="D15" i="83"/>
  <c r="D14" i="83"/>
  <c r="D13" i="83"/>
  <c r="D16" i="83" s="1"/>
  <c r="D11" i="83"/>
  <c r="D10" i="83"/>
  <c r="D9" i="83"/>
  <c r="D8" i="83"/>
  <c r="D7" i="83"/>
  <c r="D6" i="83"/>
  <c r="D3" i="83" s="1"/>
  <c r="D5" i="83"/>
  <c r="D340" i="82"/>
  <c r="D328" i="82"/>
  <c r="D14" i="82" s="1"/>
  <c r="D321" i="82"/>
  <c r="D320" i="82"/>
  <c r="D280" i="82"/>
  <c r="D273" i="82"/>
  <c r="D51" i="82" s="1"/>
  <c r="D255" i="82"/>
  <c r="D248" i="82"/>
  <c r="D247" i="82"/>
  <c r="D229" i="82"/>
  <c r="D222" i="82"/>
  <c r="D221" i="82"/>
  <c r="D220" i="82"/>
  <c r="D219" i="82"/>
  <c r="D25" i="82" s="1"/>
  <c r="D18" i="84" s="1"/>
  <c r="D20" i="84" s="1"/>
  <c r="D192" i="82"/>
  <c r="D185" i="82"/>
  <c r="D184" i="82"/>
  <c r="D183" i="82"/>
  <c r="D41" i="82" s="1"/>
  <c r="D182" i="82"/>
  <c r="D152" i="82"/>
  <c r="D144" i="82"/>
  <c r="D143" i="82"/>
  <c r="D37" i="82" s="1"/>
  <c r="D39" i="82" s="1"/>
  <c r="D123" i="82"/>
  <c r="D116" i="82"/>
  <c r="D98" i="82"/>
  <c r="D91" i="82"/>
  <c r="D90" i="82"/>
  <c r="D89" i="82"/>
  <c r="D66" i="82"/>
  <c r="D57" i="82"/>
  <c r="D56" i="82"/>
  <c r="D55" i="82"/>
  <c r="D52" i="82"/>
  <c r="D50" i="82"/>
  <c r="D49" i="82"/>
  <c r="D47" i="82"/>
  <c r="D46" i="82"/>
  <c r="D45" i="82"/>
  <c r="D42" i="82"/>
  <c r="D38" i="82"/>
  <c r="D35" i="82"/>
  <c r="D33" i="82"/>
  <c r="D31" i="82"/>
  <c r="D30" i="82"/>
  <c r="D29" i="82"/>
  <c r="D26" i="82"/>
  <c r="D24" i="82"/>
  <c r="D21" i="82"/>
  <c r="D20" i="82"/>
  <c r="D22" i="82" s="1"/>
  <c r="D17" i="82"/>
  <c r="D16" i="82"/>
  <c r="D18" i="82" s="1"/>
  <c r="D13" i="82"/>
  <c r="D12" i="82"/>
  <c r="D11" i="82"/>
  <c r="D10" i="82"/>
  <c r="D9" i="82"/>
  <c r="D8" i="82"/>
  <c r="D5" i="82"/>
  <c r="D4" i="82"/>
  <c r="D337" i="81"/>
  <c r="D49" i="81" s="1"/>
  <c r="D336" i="81"/>
  <c r="D319" i="81"/>
  <c r="D312" i="81"/>
  <c r="D311" i="81"/>
  <c r="D28" i="81" s="1"/>
  <c r="D29" i="81" s="1"/>
  <c r="D310" i="81"/>
  <c r="D283" i="81"/>
  <c r="D276" i="81"/>
  <c r="D246" i="81"/>
  <c r="D12" i="81" s="1"/>
  <c r="D239" i="81"/>
  <c r="D238" i="81"/>
  <c r="D217" i="81"/>
  <c r="D210" i="81"/>
  <c r="D34" i="81" s="1"/>
  <c r="D183" i="81"/>
  <c r="D176" i="81"/>
  <c r="D175" i="81"/>
  <c r="D154" i="81"/>
  <c r="D9" i="81" s="1"/>
  <c r="D3" i="81" s="1"/>
  <c r="D146" i="81"/>
  <c r="D145" i="81"/>
  <c r="D123" i="81"/>
  <c r="D115" i="81"/>
  <c r="D33" i="81" s="1"/>
  <c r="D36" i="81" s="1"/>
  <c r="D114" i="81"/>
  <c r="D21" i="81" s="1"/>
  <c r="D24" i="81" s="1"/>
  <c r="D113" i="81"/>
  <c r="D88" i="81"/>
  <c r="D81" i="81"/>
  <c r="D80" i="81"/>
  <c r="D79" i="81"/>
  <c r="D78" i="81"/>
  <c r="D59" i="81"/>
  <c r="D4" i="81" s="1"/>
  <c r="D48" i="81"/>
  <c r="D50" i="81" s="1"/>
  <c r="D46" i="81"/>
  <c r="D44" i="81"/>
  <c r="D41" i="81"/>
  <c r="D40" i="81"/>
  <c r="D42" i="81" s="1"/>
  <c r="D38" i="81"/>
  <c r="D35" i="81"/>
  <c r="D31" i="81"/>
  <c r="D27" i="81"/>
  <c r="D26" i="81"/>
  <c r="D23" i="81"/>
  <c r="D22" i="81"/>
  <c r="D19" i="81"/>
  <c r="D18" i="81"/>
  <c r="D17" i="81"/>
  <c r="D16" i="81"/>
  <c r="D14" i="81"/>
  <c r="D13" i="81"/>
  <c r="D11" i="81"/>
  <c r="D10" i="81"/>
  <c r="D8" i="81"/>
  <c r="D7" i="81"/>
  <c r="B52" i="2" l="1"/>
  <c r="D52" i="2" s="1"/>
  <c r="B43" i="2"/>
  <c r="D43" i="2" s="1"/>
  <c r="B34" i="2"/>
  <c r="D34" i="2" s="1"/>
  <c r="B22" i="2"/>
  <c r="B11" i="2"/>
  <c r="D11" i="2" s="1"/>
  <c r="D26" i="85"/>
  <c r="D28" i="85" s="1"/>
  <c r="D43" i="82"/>
  <c r="D52" i="81"/>
  <c r="D38" i="83"/>
  <c r="D41" i="84"/>
  <c r="D5" i="81"/>
  <c r="D3" i="82"/>
  <c r="D6" i="82" s="1"/>
  <c r="D59" i="82"/>
  <c r="D27" i="82"/>
  <c r="D53" i="82"/>
  <c r="A423" i="3"/>
  <c r="B423" i="3"/>
  <c r="A416" i="3"/>
  <c r="B416" i="3"/>
  <c r="A272" i="3"/>
  <c r="B272" i="3"/>
  <c r="A82" i="3"/>
  <c r="B82" i="3"/>
  <c r="A170" i="3"/>
  <c r="B170" i="3"/>
  <c r="A123" i="3"/>
  <c r="B123" i="3"/>
  <c r="A379" i="3"/>
  <c r="B379" i="3"/>
  <c r="A308" i="3"/>
  <c r="B308" i="3"/>
  <c r="A348" i="3"/>
  <c r="B348" i="3"/>
  <c r="A124" i="3"/>
  <c r="B124" i="3"/>
  <c r="A265" i="3"/>
  <c r="B265" i="3"/>
  <c r="A42" i="3"/>
  <c r="B42" i="3"/>
  <c r="A104" i="3"/>
  <c r="B104" i="3"/>
  <c r="A421" i="3"/>
  <c r="B421" i="3"/>
  <c r="A499" i="3"/>
  <c r="B499" i="3"/>
  <c r="A492" i="3"/>
  <c r="B492" i="3"/>
  <c r="A214" i="3"/>
  <c r="B214" i="3"/>
  <c r="A462" i="3"/>
  <c r="B462" i="3"/>
  <c r="A70" i="3"/>
  <c r="B70" i="3"/>
  <c r="A359" i="3"/>
  <c r="B359" i="3"/>
  <c r="A378" i="3"/>
  <c r="B378" i="3"/>
  <c r="A466" i="3"/>
  <c r="B466" i="3"/>
  <c r="A5" i="3"/>
  <c r="B5" i="3"/>
  <c r="A436" i="3"/>
  <c r="B436" i="3"/>
  <c r="A325" i="3"/>
  <c r="B325" i="3"/>
  <c r="A422" i="3"/>
  <c r="B422" i="3"/>
  <c r="A41" i="3"/>
  <c r="B41" i="3"/>
  <c r="A143" i="3"/>
  <c r="B143" i="3"/>
  <c r="A235" i="3"/>
  <c r="B235" i="3"/>
  <c r="A494" i="3"/>
  <c r="B494" i="3"/>
  <c r="A257" i="3"/>
  <c r="B257" i="3"/>
  <c r="A312" i="3"/>
  <c r="B312" i="3"/>
  <c r="A491" i="3"/>
  <c r="B491" i="3"/>
  <c r="A94" i="3"/>
  <c r="B94" i="3"/>
  <c r="A433" i="3"/>
  <c r="B433" i="3"/>
  <c r="A294" i="3"/>
  <c r="B294" i="3"/>
  <c r="A38" i="3"/>
  <c r="B38" i="3"/>
  <c r="A432" i="3"/>
  <c r="B432" i="3"/>
  <c r="A455" i="3"/>
  <c r="B455" i="3"/>
  <c r="A39" i="3"/>
  <c r="B39" i="3"/>
  <c r="A415" i="3"/>
  <c r="B415" i="3"/>
  <c r="A43" i="3"/>
  <c r="B43" i="3"/>
  <c r="A37" i="3"/>
  <c r="B37" i="3"/>
  <c r="A458" i="3"/>
  <c r="B458" i="3"/>
  <c r="A473" i="3"/>
  <c r="B473" i="3"/>
  <c r="A87" i="3"/>
  <c r="B87" i="3"/>
  <c r="A40" i="3"/>
  <c r="B40" i="3"/>
  <c r="A36" i="3"/>
  <c r="B36" i="3"/>
  <c r="A122" i="3"/>
  <c r="B122" i="3"/>
  <c r="A397" i="3"/>
  <c r="B397" i="3"/>
  <c r="A35" i="3"/>
  <c r="B35" i="3"/>
  <c r="A478" i="3"/>
  <c r="B478" i="3"/>
  <c r="A144" i="3"/>
  <c r="B144" i="3"/>
  <c r="B387" i="2"/>
  <c r="D387" i="2" s="1"/>
  <c r="B389" i="2"/>
  <c r="D389" i="2" s="1"/>
  <c r="B390" i="2"/>
  <c r="D390" i="2" s="1"/>
  <c r="B393" i="2"/>
  <c r="D393" i="2" s="1"/>
  <c r="B394" i="2"/>
  <c r="D394" i="2" s="1"/>
  <c r="B395" i="2"/>
  <c r="D395" i="2" s="1"/>
  <c r="B396" i="2"/>
  <c r="D396" i="2" s="1"/>
  <c r="B397" i="2"/>
  <c r="D397" i="2" s="1"/>
  <c r="B398" i="2"/>
  <c r="D398" i="2" s="1"/>
  <c r="B399" i="2"/>
  <c r="D399" i="2" s="1"/>
  <c r="B400" i="2"/>
  <c r="D400" i="2" s="1"/>
  <c r="B402" i="2"/>
  <c r="D402" i="2" s="1"/>
  <c r="B405" i="2"/>
  <c r="D405" i="2" s="1"/>
  <c r="B406" i="2"/>
  <c r="D406" i="2" s="1"/>
  <c r="B407" i="2"/>
  <c r="D407" i="2" s="1"/>
  <c r="B408" i="2"/>
  <c r="D408" i="2" s="1"/>
  <c r="B409" i="2"/>
  <c r="D409" i="2" s="1"/>
  <c r="B412" i="2"/>
  <c r="D412" i="2" s="1"/>
  <c r="B413" i="2"/>
  <c r="D413" i="2" s="1"/>
  <c r="B414" i="2"/>
  <c r="D414" i="2" s="1"/>
  <c r="B415" i="2"/>
  <c r="D415" i="2" s="1"/>
  <c r="B416" i="2"/>
  <c r="D416" i="2" s="1"/>
  <c r="B417" i="2"/>
  <c r="D417" i="2" s="1"/>
  <c r="B418" i="2"/>
  <c r="D418" i="2" s="1"/>
  <c r="B421" i="2"/>
  <c r="D421" i="2" s="1"/>
  <c r="B422" i="2"/>
  <c r="D422" i="2" s="1"/>
  <c r="B423" i="2"/>
  <c r="D423" i="2" s="1"/>
  <c r="B424" i="2"/>
  <c r="D424" i="2" s="1"/>
  <c r="B425" i="2"/>
  <c r="D425" i="2" s="1"/>
  <c r="B426" i="2"/>
  <c r="D426" i="2" s="1"/>
  <c r="D223" i="78"/>
  <c r="D34" i="78" s="1"/>
  <c r="D35" i="78" s="1"/>
  <c r="D209" i="78"/>
  <c r="D202" i="78"/>
  <c r="D201" i="78"/>
  <c r="D200" i="78"/>
  <c r="D26" i="78" s="1"/>
  <c r="D13" i="73" s="1"/>
  <c r="D199" i="78"/>
  <c r="D198" i="78"/>
  <c r="D164" i="78"/>
  <c r="D157" i="78"/>
  <c r="D29" i="78" s="1"/>
  <c r="D140" i="78"/>
  <c r="D133" i="78"/>
  <c r="D119" i="78"/>
  <c r="D112" i="78"/>
  <c r="D88" i="78"/>
  <c r="D81" i="78"/>
  <c r="D80" i="78"/>
  <c r="D48" i="78"/>
  <c r="D33" i="78"/>
  <c r="D30" i="78"/>
  <c r="D25" i="78"/>
  <c r="D12" i="73" s="1"/>
  <c r="D21" i="78"/>
  <c r="D20" i="78"/>
  <c r="D22" i="78" s="1"/>
  <c r="D17" i="78"/>
  <c r="D14" i="78"/>
  <c r="D13" i="78"/>
  <c r="D12" i="78"/>
  <c r="D10" i="78"/>
  <c r="D9" i="78"/>
  <c r="D8" i="78"/>
  <c r="D7" i="78"/>
  <c r="D6" i="78"/>
  <c r="D5" i="78"/>
  <c r="D3" i="78" s="1"/>
  <c r="D342" i="77"/>
  <c r="D341" i="77"/>
  <c r="D340" i="77"/>
  <c r="D74" i="77" s="1"/>
  <c r="D75" i="77" s="1"/>
  <c r="D318" i="77"/>
  <c r="D311" i="77"/>
  <c r="D310" i="77"/>
  <c r="D309" i="77"/>
  <c r="D22" i="77" s="1"/>
  <c r="D308" i="77"/>
  <c r="D286" i="77"/>
  <c r="D279" i="77"/>
  <c r="D278" i="77"/>
  <c r="D52" i="77" s="1"/>
  <c r="D277" i="77"/>
  <c r="D258" i="77"/>
  <c r="D251" i="77"/>
  <c r="D250" i="77"/>
  <c r="D71" i="77" s="1"/>
  <c r="D249" i="77"/>
  <c r="D248" i="77"/>
  <c r="D247" i="77"/>
  <c r="D246" i="77"/>
  <c r="D18" i="77" s="1"/>
  <c r="D19" i="77" s="1"/>
  <c r="D220" i="77"/>
  <c r="D213" i="77"/>
  <c r="D212" i="77"/>
  <c r="D211" i="77"/>
  <c r="D59" i="77" s="1"/>
  <c r="D210" i="77"/>
  <c r="D209" i="77"/>
  <c r="D183" i="77"/>
  <c r="D176" i="77"/>
  <c r="D51" i="77" s="1"/>
  <c r="D53" i="77" s="1"/>
  <c r="D175" i="77"/>
  <c r="D174" i="77"/>
  <c r="D154" i="77"/>
  <c r="D147" i="77"/>
  <c r="D67" i="77" s="1"/>
  <c r="D146" i="77"/>
  <c r="D145" i="77"/>
  <c r="D144" i="77"/>
  <c r="D143" i="77"/>
  <c r="D33" i="77" s="1"/>
  <c r="D35" i="77" s="1"/>
  <c r="D142" i="77"/>
  <c r="D141" i="77"/>
  <c r="D140" i="77"/>
  <c r="D139" i="77"/>
  <c r="D138" i="77"/>
  <c r="D137" i="77"/>
  <c r="D95" i="77"/>
  <c r="D83" i="77"/>
  <c r="D81" i="77"/>
  <c r="D80" i="77"/>
  <c r="D79" i="77"/>
  <c r="D77" i="77"/>
  <c r="D73" i="77"/>
  <c r="D69" i="77"/>
  <c r="D65" i="77"/>
  <c r="D62" i="77"/>
  <c r="D61" i="77"/>
  <c r="D56" i="77"/>
  <c r="D55" i="77"/>
  <c r="D49" i="77"/>
  <c r="D47" i="77"/>
  <c r="D44" i="77"/>
  <c r="D43" i="77"/>
  <c r="D41" i="77"/>
  <c r="D38" i="77"/>
  <c r="D37" i="77"/>
  <c r="D34" i="77"/>
  <c r="D31" i="77"/>
  <c r="D28" i="77"/>
  <c r="D27" i="77"/>
  <c r="D29" i="77" s="1"/>
  <c r="D25" i="77"/>
  <c r="D21" i="77"/>
  <c r="D23" i="77" s="1"/>
  <c r="D17" i="77"/>
  <c r="D15" i="77"/>
  <c r="D13" i="77"/>
  <c r="D11" i="77"/>
  <c r="D10" i="77"/>
  <c r="D9" i="77"/>
  <c r="D8" i="77"/>
  <c r="D7" i="77"/>
  <c r="D6" i="77"/>
  <c r="D5" i="77"/>
  <c r="D3" i="77" s="1"/>
  <c r="D199" i="76"/>
  <c r="D198" i="76"/>
  <c r="D174" i="76"/>
  <c r="D167" i="76"/>
  <c r="D166" i="76"/>
  <c r="D165" i="76"/>
  <c r="D164" i="76"/>
  <c r="D11" i="76" s="1"/>
  <c r="D126" i="76"/>
  <c r="D118" i="76"/>
  <c r="D117" i="76"/>
  <c r="D99" i="76"/>
  <c r="D7" i="76" s="1"/>
  <c r="D92" i="76"/>
  <c r="D91" i="76"/>
  <c r="D72" i="76"/>
  <c r="D65" i="76"/>
  <c r="D17" i="76" s="1"/>
  <c r="D19" i="76" s="1"/>
  <c r="D46" i="76"/>
  <c r="D35" i="76"/>
  <c r="D34" i="76"/>
  <c r="D33" i="76"/>
  <c r="D31" i="76"/>
  <c r="D30" i="76"/>
  <c r="D29" i="76"/>
  <c r="D26" i="76"/>
  <c r="D25" i="76"/>
  <c r="D22" i="76"/>
  <c r="D21" i="76"/>
  <c r="D23" i="76" s="1"/>
  <c r="D18" i="76"/>
  <c r="D15" i="76"/>
  <c r="D12" i="76"/>
  <c r="D9" i="76"/>
  <c r="D8" i="76"/>
  <c r="D6" i="76"/>
  <c r="D5" i="76"/>
  <c r="D3" i="76" s="1"/>
  <c r="D345" i="75"/>
  <c r="D333" i="75"/>
  <c r="D326" i="75"/>
  <c r="D297" i="75"/>
  <c r="D290" i="75"/>
  <c r="D289" i="75"/>
  <c r="D288" i="75"/>
  <c r="D22" i="75" s="1"/>
  <c r="D263" i="75"/>
  <c r="D256" i="75"/>
  <c r="D255" i="75"/>
  <c r="D228" i="75"/>
  <c r="D11" i="75" s="1"/>
  <c r="D221" i="75"/>
  <c r="D220" i="75"/>
  <c r="D194" i="75"/>
  <c r="D187" i="75"/>
  <c r="D39" i="75" s="1"/>
  <c r="D186" i="75"/>
  <c r="D162" i="75"/>
  <c r="D155" i="75"/>
  <c r="D154" i="75"/>
  <c r="D16" i="75" s="1"/>
  <c r="D131" i="75"/>
  <c r="D124" i="75"/>
  <c r="D107" i="75"/>
  <c r="D100" i="75"/>
  <c r="D99" i="75"/>
  <c r="D37" i="75" s="1"/>
  <c r="D98" i="75"/>
  <c r="D59" i="75"/>
  <c r="D45" i="75"/>
  <c r="D44" i="75"/>
  <c r="D43" i="75"/>
  <c r="D40" i="75"/>
  <c r="D35" i="75"/>
  <c r="D33" i="75"/>
  <c r="D31" i="75"/>
  <c r="D30" i="75"/>
  <c r="D29" i="75"/>
  <c r="D27" i="75"/>
  <c r="D25" i="75"/>
  <c r="D21" i="75"/>
  <c r="D20" i="75"/>
  <c r="D23" i="75" s="1"/>
  <c r="D18" i="75"/>
  <c r="D14" i="75"/>
  <c r="D13" i="75"/>
  <c r="D12" i="75"/>
  <c r="D10" i="75"/>
  <c r="D9" i="75"/>
  <c r="D8" i="75"/>
  <c r="D7" i="75"/>
  <c r="D4" i="75"/>
  <c r="D142" i="74"/>
  <c r="D141" i="74"/>
  <c r="D18" i="74" s="1"/>
  <c r="D109" i="74"/>
  <c r="D101" i="74"/>
  <c r="D100" i="74"/>
  <c r="D99" i="74"/>
  <c r="D8" i="74" s="1"/>
  <c r="D98" i="74"/>
  <c r="D33" i="74"/>
  <c r="D17" i="74"/>
  <c r="D15" i="74"/>
  <c r="D13" i="74"/>
  <c r="D11" i="74"/>
  <c r="D4" i="74"/>
  <c r="D3" i="74"/>
  <c r="D11" i="73"/>
  <c r="D16" i="73" s="1"/>
  <c r="D7" i="73"/>
  <c r="D7" i="74" s="1"/>
  <c r="D5" i="73"/>
  <c r="D3" i="73"/>
  <c r="B13" i="2" l="1"/>
  <c r="D13" i="2" s="1"/>
  <c r="B25" i="2"/>
  <c r="D25" i="2" s="1"/>
  <c r="D22" i="2"/>
  <c r="B54" i="2"/>
  <c r="D54" i="2" s="1"/>
  <c r="B401" i="2"/>
  <c r="D401" i="2" s="1"/>
  <c r="B427" i="2"/>
  <c r="D427" i="2" s="1"/>
  <c r="B419" i="2"/>
  <c r="D419" i="2" s="1"/>
  <c r="B410" i="2"/>
  <c r="D410" i="2" s="1"/>
  <c r="B391" i="2"/>
  <c r="D391" i="2" s="1"/>
  <c r="D8" i="73"/>
  <c r="D9" i="73" s="1"/>
  <c r="D41" i="75"/>
  <c r="D27" i="76"/>
  <c r="D63" i="77"/>
  <c r="D5" i="74"/>
  <c r="D3" i="75"/>
  <c r="D5" i="75" s="1"/>
  <c r="D46" i="75"/>
  <c r="D45" i="77"/>
  <c r="D24" i="78"/>
  <c r="D27" i="78" s="1"/>
  <c r="D14" i="73"/>
  <c r="D20" i="73" s="1"/>
  <c r="D9" i="74"/>
  <c r="D19" i="74"/>
  <c r="D13" i="76"/>
  <c r="D16" i="78"/>
  <c r="D18" i="78" s="1"/>
  <c r="D39" i="77"/>
  <c r="D57" i="77"/>
  <c r="D41" i="78"/>
  <c r="D39" i="78"/>
  <c r="D37" i="78"/>
  <c r="D31" i="78"/>
  <c r="D85" i="77"/>
  <c r="B56" i="2" l="1"/>
  <c r="B403" i="2"/>
  <c r="D403" i="2" s="1"/>
  <c r="D41" i="76"/>
  <c r="D39" i="76"/>
  <c r="D25" i="74"/>
  <c r="D23" i="74"/>
  <c r="D48" i="75"/>
  <c r="D18" i="73"/>
  <c r="D87" i="77"/>
  <c r="D50" i="75"/>
  <c r="D21" i="74"/>
  <c r="D52" i="75"/>
  <c r="D89" i="77"/>
  <c r="D37" i="76"/>
  <c r="B429" i="2" l="1"/>
  <c r="D429" i="2" s="1"/>
  <c r="D56" i="2"/>
  <c r="D34" i="23"/>
  <c r="D162" i="23"/>
  <c r="D163" i="23"/>
  <c r="D160" i="23"/>
  <c r="D159" i="23"/>
  <c r="D161" i="23"/>
  <c r="D158" i="23"/>
  <c r="D7" i="23" s="1"/>
  <c r="D17" i="27" s="1"/>
  <c r="D8" i="23"/>
  <c r="D37" i="17"/>
  <c r="D20" i="17"/>
  <c r="D43" i="27"/>
  <c r="D390" i="27"/>
  <c r="D389" i="27"/>
  <c r="D44" i="27" s="1"/>
  <c r="D369" i="27"/>
  <c r="D269" i="27"/>
  <c r="D292" i="27"/>
  <c r="D291" i="27"/>
  <c r="D361" i="27"/>
  <c r="D18" i="27" s="1"/>
  <c r="D362" i="27"/>
  <c r="D23" i="27" s="1"/>
  <c r="D326" i="27"/>
  <c r="D327" i="27"/>
  <c r="D328" i="27"/>
  <c r="D53" i="27" s="1"/>
  <c r="D159" i="27"/>
  <c r="D158" i="27"/>
  <c r="D124" i="27"/>
  <c r="D209" i="33"/>
  <c r="D92" i="27"/>
  <c r="D91" i="27"/>
  <c r="D90" i="27"/>
  <c r="B49" i="3"/>
  <c r="A49" i="3"/>
  <c r="D201" i="33"/>
  <c r="D200" i="33"/>
  <c r="D23" i="33" s="1"/>
  <c r="D177" i="33"/>
  <c r="D22" i="33" s="1"/>
  <c r="D148" i="33"/>
  <c r="D21" i="33" s="1"/>
  <c r="D38" i="33"/>
  <c r="D236" i="33"/>
  <c r="D235" i="33"/>
  <c r="D178" i="33"/>
  <c r="D185" i="33"/>
  <c r="D149" i="33"/>
  <c r="D130" i="33"/>
  <c r="D9" i="23" l="1"/>
  <c r="D24" i="33"/>
  <c r="D169" i="61"/>
  <c r="D168" i="61"/>
  <c r="D167" i="61"/>
  <c r="D166" i="61"/>
  <c r="D165" i="61"/>
  <c r="D65" i="61"/>
  <c r="D57" i="61"/>
  <c r="D56" i="61"/>
  <c r="D34" i="61"/>
  <c r="D23" i="61"/>
  <c r="D20" i="61"/>
  <c r="D17" i="61"/>
  <c r="D15" i="61"/>
  <c r="D13" i="61"/>
  <c r="D11" i="61"/>
  <c r="D9" i="61"/>
  <c r="D7" i="61"/>
  <c r="D5" i="61"/>
  <c r="D4" i="61"/>
  <c r="D3" i="61"/>
  <c r="D220" i="70"/>
  <c r="D202" i="70"/>
  <c r="D195" i="70"/>
  <c r="D167" i="70"/>
  <c r="D160" i="70"/>
  <c r="D159" i="70"/>
  <c r="D118" i="70"/>
  <c r="D111" i="70"/>
  <c r="D110" i="70"/>
  <c r="D85" i="70"/>
  <c r="D78" i="70"/>
  <c r="D77" i="70"/>
  <c r="D76" i="70"/>
  <c r="D40" i="70"/>
  <c r="D35" i="70"/>
  <c r="D33" i="70"/>
  <c r="D31" i="70"/>
  <c r="D29" i="70"/>
  <c r="D27" i="70"/>
  <c r="D26" i="70"/>
  <c r="D25" i="70"/>
  <c r="D23" i="70"/>
  <c r="D21" i="70"/>
  <c r="D20" i="70"/>
  <c r="D19" i="70"/>
  <c r="D17" i="70"/>
  <c r="D16" i="70"/>
  <c r="D15" i="70"/>
  <c r="D13" i="70"/>
  <c r="D12" i="70"/>
  <c r="D11" i="70"/>
  <c r="D9" i="70"/>
  <c r="D8" i="70"/>
  <c r="D7" i="70"/>
  <c r="D6" i="70"/>
  <c r="D5" i="70"/>
  <c r="D3" i="70"/>
  <c r="D244" i="28"/>
  <c r="D243" i="28"/>
  <c r="D219" i="28"/>
  <c r="D211" i="28"/>
  <c r="D210" i="28"/>
  <c r="D209" i="28"/>
  <c r="D177" i="28"/>
  <c r="D170" i="28"/>
  <c r="D169" i="28"/>
  <c r="D152" i="28"/>
  <c r="D145" i="28"/>
  <c r="D116" i="28"/>
  <c r="D109" i="28"/>
  <c r="D75" i="28"/>
  <c r="D68" i="28"/>
  <c r="D67" i="28"/>
  <c r="D45" i="28"/>
  <c r="D40" i="28"/>
  <c r="D38" i="28"/>
  <c r="D36" i="28"/>
  <c r="D34" i="28"/>
  <c r="D33" i="28"/>
  <c r="D32" i="28"/>
  <c r="D30" i="28"/>
  <c r="D29" i="28"/>
  <c r="D28" i="28"/>
  <c r="D26" i="28"/>
  <c r="D25" i="28"/>
  <c r="D24" i="28"/>
  <c r="D22" i="28"/>
  <c r="D21" i="28"/>
  <c r="D20" i="28"/>
  <c r="D18" i="28"/>
  <c r="D16" i="28"/>
  <c r="D15" i="28"/>
  <c r="D14" i="28"/>
  <c r="D12" i="28"/>
  <c r="D10" i="28"/>
  <c r="D9" i="28"/>
  <c r="D8" i="28"/>
  <c r="D7" i="28"/>
  <c r="D6" i="28"/>
  <c r="D5" i="28"/>
  <c r="D3" i="28"/>
  <c r="D260" i="33"/>
  <c r="D35" i="33" s="1"/>
  <c r="D243" i="33"/>
  <c r="D13" i="33" s="1"/>
  <c r="D42" i="33"/>
  <c r="B474" i="3" s="1"/>
  <c r="D34" i="33"/>
  <c r="D12" i="33"/>
  <c r="D11" i="33"/>
  <c r="D156" i="33"/>
  <c r="D10" i="33" s="1"/>
  <c r="D27" i="33"/>
  <c r="D9" i="33"/>
  <c r="D123" i="33"/>
  <c r="D16" i="33" s="1"/>
  <c r="D110" i="33"/>
  <c r="D8" i="33" s="1"/>
  <c r="D103" i="33"/>
  <c r="D31" i="33" s="1"/>
  <c r="B337" i="3" s="1"/>
  <c r="D102" i="33"/>
  <c r="D28" i="33" s="1"/>
  <c r="D84" i="33"/>
  <c r="D5" i="33" s="1"/>
  <c r="D77" i="33"/>
  <c r="D26" i="33" s="1"/>
  <c r="D76" i="33"/>
  <c r="D19" i="33" s="1"/>
  <c r="B60" i="3" s="1"/>
  <c r="D75" i="33"/>
  <c r="D15" i="33" s="1"/>
  <c r="D55" i="33"/>
  <c r="D4" i="33" s="1"/>
  <c r="D39" i="33"/>
  <c r="D19" i="61"/>
  <c r="D21" i="61" s="1"/>
  <c r="D33" i="33"/>
  <c r="D15" i="27"/>
  <c r="D336" i="27"/>
  <c r="D14" i="27" s="1"/>
  <c r="D22" i="27"/>
  <c r="D299" i="27"/>
  <c r="D13" i="27" s="1"/>
  <c r="D52" i="27"/>
  <c r="D42" i="27"/>
  <c r="D12" i="27"/>
  <c r="D260" i="27"/>
  <c r="D231" i="27"/>
  <c r="D11" i="27" s="1"/>
  <c r="D222" i="27"/>
  <c r="D47" i="27" s="1"/>
  <c r="D221" i="27"/>
  <c r="D21" i="27" s="1"/>
  <c r="D195" i="27"/>
  <c r="D188" i="27"/>
  <c r="D31" i="27" s="1"/>
  <c r="B171" i="3" s="1"/>
  <c r="D187" i="27"/>
  <c r="D28" i="27" s="1"/>
  <c r="D167" i="27"/>
  <c r="D9" i="27" s="1"/>
  <c r="D46" i="27"/>
  <c r="D27" i="27"/>
  <c r="D8" i="27"/>
  <c r="D117" i="27"/>
  <c r="D116" i="27"/>
  <c r="D99" i="27"/>
  <c r="D5" i="27" s="1"/>
  <c r="D68" i="27"/>
  <c r="D4" i="27" s="1"/>
  <c r="D54" i="27"/>
  <c r="D50" i="27"/>
  <c r="B446" i="3" s="1"/>
  <c r="D41" i="27"/>
  <c r="D39" i="27"/>
  <c r="B335" i="3" s="1"/>
  <c r="D37" i="27"/>
  <c r="B334" i="3" s="1"/>
  <c r="D35" i="27"/>
  <c r="B297" i="3" s="1"/>
  <c r="D33" i="27"/>
  <c r="B295" i="3" s="1"/>
  <c r="D24" i="27"/>
  <c r="D10" i="27"/>
  <c r="D178" i="23"/>
  <c r="D18" i="23" s="1"/>
  <c r="D171" i="23"/>
  <c r="D4" i="23" s="1"/>
  <c r="D21" i="23"/>
  <c r="B449" i="3" s="1"/>
  <c r="D17" i="23"/>
  <c r="D11" i="23"/>
  <c r="B52" i="3" s="1"/>
  <c r="D15" i="23"/>
  <c r="D13" i="23"/>
  <c r="D3" i="23"/>
  <c r="D224" i="17"/>
  <c r="D223" i="17"/>
  <c r="D222" i="17"/>
  <c r="D185" i="17"/>
  <c r="D178" i="17"/>
  <c r="D177" i="17"/>
  <c r="D140" i="17"/>
  <c r="D133" i="17"/>
  <c r="D132" i="17"/>
  <c r="D131" i="17"/>
  <c r="D130" i="17"/>
  <c r="D93" i="17"/>
  <c r="D86" i="17"/>
  <c r="D85" i="17"/>
  <c r="D46" i="17"/>
  <c r="D35" i="17"/>
  <c r="D33" i="17"/>
  <c r="D31" i="17"/>
  <c r="D29" i="17"/>
  <c r="D28" i="17"/>
  <c r="D27" i="17"/>
  <c r="D25" i="17"/>
  <c r="D23" i="17"/>
  <c r="D21" i="17"/>
  <c r="D19" i="17"/>
  <c r="D17" i="17"/>
  <c r="D15" i="17"/>
  <c r="D13" i="17"/>
  <c r="D11" i="17"/>
  <c r="D9" i="17"/>
  <c r="D7" i="17"/>
  <c r="D6" i="17"/>
  <c r="D5" i="17"/>
  <c r="D4" i="17"/>
  <c r="D3" i="17"/>
  <c r="B511" i="3"/>
  <c r="B22" i="3"/>
  <c r="A22" i="3"/>
  <c r="A92" i="3"/>
  <c r="A414" i="3"/>
  <c r="A447" i="3"/>
  <c r="B146" i="3"/>
  <c r="A146" i="3"/>
  <c r="A334" i="3"/>
  <c r="B317" i="3"/>
  <c r="A317" i="3"/>
  <c r="A390" i="3"/>
  <c r="A449" i="3"/>
  <c r="B137" i="3"/>
  <c r="A137" i="3"/>
  <c r="B243" i="3"/>
  <c r="A243" i="3"/>
  <c r="A80" i="3"/>
  <c r="A295" i="3"/>
  <c r="B75" i="3"/>
  <c r="A75" i="3"/>
  <c r="A388" i="3"/>
  <c r="B365" i="3"/>
  <c r="A365" i="3"/>
  <c r="B304" i="3"/>
  <c r="A304" i="3"/>
  <c r="B476" i="3"/>
  <c r="A476" i="3"/>
  <c r="A435" i="3"/>
  <c r="A335" i="3"/>
  <c r="B176" i="3"/>
  <c r="A176" i="3"/>
  <c r="A337" i="3"/>
  <c r="B399" i="3"/>
  <c r="A399" i="3"/>
  <c r="A99" i="3"/>
  <c r="A61" i="3"/>
  <c r="A171" i="3"/>
  <c r="A446" i="3"/>
  <c r="A459" i="3"/>
  <c r="A52" i="3"/>
  <c r="A60" i="3"/>
  <c r="B76" i="3"/>
  <c r="A76" i="3"/>
  <c r="B110" i="3"/>
  <c r="A110" i="3"/>
  <c r="A297" i="3"/>
  <c r="A474" i="3"/>
  <c r="B481" i="3"/>
  <c r="A481" i="3"/>
  <c r="A443" i="3"/>
  <c r="B309" i="3"/>
  <c r="A309" i="3"/>
  <c r="B440" i="3"/>
  <c r="A440" i="3"/>
  <c r="B501" i="3"/>
  <c r="A501" i="3"/>
  <c r="A150" i="3"/>
  <c r="B468" i="3"/>
  <c r="A468" i="3"/>
  <c r="A33" i="3"/>
  <c r="B105" i="3"/>
  <c r="A105" i="3"/>
  <c r="B384" i="3"/>
  <c r="A384" i="3"/>
  <c r="B77" i="3"/>
  <c r="A77" i="3"/>
  <c r="B310" i="3"/>
  <c r="A310" i="3"/>
  <c r="B434" i="3"/>
  <c r="A434" i="3"/>
  <c r="B438" i="3"/>
  <c r="A438" i="3"/>
  <c r="B186" i="3"/>
  <c r="A186" i="3"/>
  <c r="B71" i="3"/>
  <c r="A71" i="3"/>
  <c r="B426" i="3"/>
  <c r="A426" i="3"/>
  <c r="B78" i="3"/>
  <c r="A78" i="3"/>
  <c r="B380" i="2"/>
  <c r="D380" i="2" s="1"/>
  <c r="B379" i="2"/>
  <c r="B376" i="2"/>
  <c r="D376" i="2" s="1"/>
  <c r="B375" i="2"/>
  <c r="D375" i="2" s="1"/>
  <c r="B374" i="2"/>
  <c r="D374" i="2" s="1"/>
  <c r="B373" i="2"/>
  <c r="B372" i="2"/>
  <c r="D372" i="2" s="1"/>
  <c r="B369" i="2"/>
  <c r="D369" i="2" s="1"/>
  <c r="B368" i="2"/>
  <c r="D368" i="2" s="1"/>
  <c r="B367" i="2"/>
  <c r="D367" i="2" s="1"/>
  <c r="B366" i="2"/>
  <c r="D366" i="2" s="1"/>
  <c r="B365" i="2"/>
  <c r="D365" i="2" s="1"/>
  <c r="B364" i="2"/>
  <c r="C486" i="3" l="1"/>
  <c r="C457" i="3"/>
  <c r="C437" i="3"/>
  <c r="C405" i="3"/>
  <c r="C370" i="3"/>
  <c r="C347" i="3"/>
  <c r="C330" i="3"/>
  <c r="C302" i="3"/>
  <c r="C287" i="3"/>
  <c r="C254" i="3"/>
  <c r="C219" i="3"/>
  <c r="C188" i="3"/>
  <c r="C169" i="3"/>
  <c r="C155" i="3"/>
  <c r="C108" i="3"/>
  <c r="C85" i="3"/>
  <c r="C32" i="3"/>
  <c r="C13" i="3"/>
  <c r="C497" i="3"/>
  <c r="C270" i="3"/>
  <c r="C195" i="3"/>
  <c r="C132" i="3"/>
  <c r="C73" i="3"/>
  <c r="C20" i="3"/>
  <c r="C489" i="3"/>
  <c r="C444" i="3"/>
  <c r="C409" i="3"/>
  <c r="C383" i="3"/>
  <c r="C353" i="3"/>
  <c r="C340" i="3"/>
  <c r="C314" i="3"/>
  <c r="C289" i="3"/>
  <c r="C285" i="3"/>
  <c r="C230" i="3"/>
  <c r="C209" i="3"/>
  <c r="C179" i="3"/>
  <c r="C158" i="3"/>
  <c r="C153" i="3"/>
  <c r="C102" i="3"/>
  <c r="C63" i="3"/>
  <c r="C9" i="3"/>
  <c r="D497" i="3"/>
  <c r="D444" i="3"/>
  <c r="D353" i="3"/>
  <c r="D314" i="3"/>
  <c r="D285" i="3"/>
  <c r="D219" i="3"/>
  <c r="D179" i="3"/>
  <c r="D153" i="3"/>
  <c r="D85" i="3"/>
  <c r="D20" i="3"/>
  <c r="D498" i="3"/>
  <c r="D380" i="3"/>
  <c r="D329" i="3"/>
  <c r="D286" i="3"/>
  <c r="D213" i="3"/>
  <c r="D173" i="3"/>
  <c r="D142" i="3"/>
  <c r="D74" i="3"/>
  <c r="D14" i="3"/>
  <c r="D490" i="3"/>
  <c r="D403" i="3"/>
  <c r="C11" i="3"/>
  <c r="C72" i="3"/>
  <c r="C125" i="3"/>
  <c r="C166" i="3"/>
  <c r="C208" i="3"/>
  <c r="C269" i="3"/>
  <c r="C291" i="3"/>
  <c r="C346" i="3"/>
  <c r="C403" i="3"/>
  <c r="C450" i="3"/>
  <c r="C498" i="3"/>
  <c r="C173" i="3"/>
  <c r="C281" i="3"/>
  <c r="C349" i="3"/>
  <c r="C485" i="3"/>
  <c r="D102" i="3"/>
  <c r="D406" i="3"/>
  <c r="D288" i="3"/>
  <c r="D154" i="3"/>
  <c r="D405" i="3"/>
  <c r="C106" i="3"/>
  <c r="C231" i="3"/>
  <c r="C288" i="3"/>
  <c r="C380" i="3"/>
  <c r="C490" i="3"/>
  <c r="D489" i="3"/>
  <c r="D437" i="3"/>
  <c r="D347" i="3"/>
  <c r="D302" i="3"/>
  <c r="D270" i="3"/>
  <c r="D209" i="3"/>
  <c r="D169" i="3"/>
  <c r="D132" i="3"/>
  <c r="D73" i="3"/>
  <c r="D13" i="3"/>
  <c r="D488" i="3"/>
  <c r="D349" i="3"/>
  <c r="D305" i="3"/>
  <c r="D281" i="3"/>
  <c r="D208" i="3"/>
  <c r="D166" i="3"/>
  <c r="D125" i="3"/>
  <c r="D72" i="3"/>
  <c r="D11" i="3"/>
  <c r="D485" i="3"/>
  <c r="D361" i="3"/>
  <c r="C14" i="3"/>
  <c r="C74" i="3"/>
  <c r="C142" i="3"/>
  <c r="C213" i="3"/>
  <c r="C305" i="3"/>
  <c r="C406" i="3"/>
  <c r="D409" i="3"/>
  <c r="D185" i="3"/>
  <c r="D25" i="3"/>
  <c r="C4" i="3"/>
  <c r="C157" i="3"/>
  <c r="C339" i="3"/>
  <c r="C439" i="3"/>
  <c r="D486" i="3"/>
  <c r="D383" i="3"/>
  <c r="D340" i="3"/>
  <c r="D289" i="3"/>
  <c r="D254" i="3"/>
  <c r="D195" i="3"/>
  <c r="D158" i="3"/>
  <c r="D108" i="3"/>
  <c r="D63" i="3"/>
  <c r="D9" i="3"/>
  <c r="D439" i="3"/>
  <c r="D346" i="3"/>
  <c r="D291" i="3"/>
  <c r="D231" i="3"/>
  <c r="D190" i="3"/>
  <c r="D157" i="3"/>
  <c r="D106" i="3"/>
  <c r="D53" i="3"/>
  <c r="D4" i="3"/>
  <c r="D450" i="3"/>
  <c r="D269" i="3"/>
  <c r="C25" i="3"/>
  <c r="C95" i="3"/>
  <c r="C154" i="3"/>
  <c r="C185" i="3"/>
  <c r="C225" i="3"/>
  <c r="C286" i="3"/>
  <c r="C329" i="3"/>
  <c r="C361" i="3"/>
  <c r="C430" i="3"/>
  <c r="C488" i="3"/>
  <c r="D457" i="3"/>
  <c r="D370" i="3"/>
  <c r="D330" i="3"/>
  <c r="D287" i="3"/>
  <c r="D230" i="3"/>
  <c r="D188" i="3"/>
  <c r="D155" i="3"/>
  <c r="D32" i="3"/>
  <c r="D339" i="3"/>
  <c r="D225" i="3"/>
  <c r="D95" i="3"/>
  <c r="D430" i="3"/>
  <c r="C53" i="3"/>
  <c r="C190" i="3"/>
  <c r="C500" i="3"/>
  <c r="C495" i="3"/>
  <c r="C480" i="3"/>
  <c r="C465" i="3"/>
  <c r="C460" i="3"/>
  <c r="C425" i="3"/>
  <c r="C418" i="3"/>
  <c r="C412" i="3"/>
  <c r="C395" i="3"/>
  <c r="C364" i="3"/>
  <c r="C352" i="3"/>
  <c r="C341" i="3"/>
  <c r="C327" i="3"/>
  <c r="C277" i="3"/>
  <c r="C274" i="3"/>
  <c r="C271" i="3"/>
  <c r="C262" i="3"/>
  <c r="C260" i="3"/>
  <c r="C253" i="3"/>
  <c r="C244" i="3"/>
  <c r="C183" i="3"/>
  <c r="C174" i="3"/>
  <c r="C161" i="3"/>
  <c r="C126" i="3"/>
  <c r="C117" i="3"/>
  <c r="C112" i="3"/>
  <c r="C88" i="3"/>
  <c r="C67" i="3"/>
  <c r="C56" i="3"/>
  <c r="C48" i="3"/>
  <c r="C46" i="3"/>
  <c r="C34" i="3"/>
  <c r="C18" i="3"/>
  <c r="C7" i="3"/>
  <c r="C477" i="3"/>
  <c r="C419" i="3"/>
  <c r="C408" i="3"/>
  <c r="C356" i="3"/>
  <c r="C332" i="3"/>
  <c r="C275" i="3"/>
  <c r="C268" i="3"/>
  <c r="C259" i="3"/>
  <c r="C199" i="3"/>
  <c r="C172" i="3"/>
  <c r="C120" i="3"/>
  <c r="C96" i="3"/>
  <c r="C57" i="3"/>
  <c r="C47" i="3"/>
  <c r="C26" i="3"/>
  <c r="C3" i="3"/>
  <c r="D495" i="3"/>
  <c r="D465" i="3"/>
  <c r="D460" i="3"/>
  <c r="D418" i="3"/>
  <c r="D395" i="3"/>
  <c r="D352" i="3"/>
  <c r="D327" i="3"/>
  <c r="D274" i="3"/>
  <c r="D262" i="3"/>
  <c r="D253" i="3"/>
  <c r="D183" i="3"/>
  <c r="D161" i="3"/>
  <c r="D117" i="3"/>
  <c r="D88" i="3"/>
  <c r="D56" i="3"/>
  <c r="D496" i="3"/>
  <c r="D482" i="3"/>
  <c r="D477" i="3"/>
  <c r="D461" i="3"/>
  <c r="D454" i="3"/>
  <c r="D419" i="3"/>
  <c r="D413" i="3"/>
  <c r="D408" i="3"/>
  <c r="D368" i="3"/>
  <c r="D356" i="3"/>
  <c r="D342" i="3"/>
  <c r="D332" i="3"/>
  <c r="D306" i="3"/>
  <c r="D275" i="3"/>
  <c r="D273" i="3"/>
  <c r="D268" i="3"/>
  <c r="D261" i="3"/>
  <c r="D259" i="3"/>
  <c r="D245" i="3"/>
  <c r="D199" i="3"/>
  <c r="D181" i="3"/>
  <c r="D172" i="3"/>
  <c r="D159" i="3"/>
  <c r="D120" i="3"/>
  <c r="D114" i="3"/>
  <c r="D96" i="3"/>
  <c r="D86" i="3"/>
  <c r="D57" i="3"/>
  <c r="D55" i="3"/>
  <c r="D47" i="3"/>
  <c r="D45" i="3"/>
  <c r="D26" i="3"/>
  <c r="D12" i="3"/>
  <c r="D3" i="3"/>
  <c r="C496" i="3"/>
  <c r="C482" i="3"/>
  <c r="C461" i="3"/>
  <c r="C454" i="3"/>
  <c r="C413" i="3"/>
  <c r="C368" i="3"/>
  <c r="C342" i="3"/>
  <c r="C306" i="3"/>
  <c r="C273" i="3"/>
  <c r="C261" i="3"/>
  <c r="C245" i="3"/>
  <c r="C181" i="3"/>
  <c r="C159" i="3"/>
  <c r="C114" i="3"/>
  <c r="C86" i="3"/>
  <c r="C55" i="3"/>
  <c r="C45" i="3"/>
  <c r="C12" i="3"/>
  <c r="D500" i="3"/>
  <c r="D480" i="3"/>
  <c r="D425" i="3"/>
  <c r="D412" i="3"/>
  <c r="D364" i="3"/>
  <c r="D341" i="3"/>
  <c r="D277" i="3"/>
  <c r="D271" i="3"/>
  <c r="D260" i="3"/>
  <c r="D244" i="3"/>
  <c r="D174" i="3"/>
  <c r="D126" i="3"/>
  <c r="D112" i="3"/>
  <c r="D67" i="3"/>
  <c r="D48" i="3"/>
  <c r="D18" i="3"/>
  <c r="D7" i="3"/>
  <c r="D46" i="3"/>
  <c r="D34" i="3"/>
  <c r="D503" i="3"/>
  <c r="D471" i="3"/>
  <c r="D441" i="3"/>
  <c r="D381" i="3"/>
  <c r="D375" i="3"/>
  <c r="D373" i="3"/>
  <c r="D371" i="3"/>
  <c r="D367" i="3"/>
  <c r="D358" i="3"/>
  <c r="D350" i="3"/>
  <c r="D336" i="3"/>
  <c r="D249" i="3"/>
  <c r="D247" i="3"/>
  <c r="D242" i="3"/>
  <c r="D240" i="3"/>
  <c r="D226" i="3"/>
  <c r="D198" i="3"/>
  <c r="D193" i="3"/>
  <c r="D162" i="3"/>
  <c r="D141" i="3"/>
  <c r="D139" i="3"/>
  <c r="D119" i="3"/>
  <c r="D65" i="3"/>
  <c r="D31" i="3"/>
  <c r="D17" i="3"/>
  <c r="C502" i="3"/>
  <c r="C374" i="3"/>
  <c r="C369" i="3"/>
  <c r="C357" i="3"/>
  <c r="C248" i="3"/>
  <c r="C241" i="3"/>
  <c r="C194" i="3"/>
  <c r="C140" i="3"/>
  <c r="C64" i="3"/>
  <c r="C503" i="3"/>
  <c r="C471" i="3"/>
  <c r="C441" i="3"/>
  <c r="C381" i="3"/>
  <c r="C375" i="3"/>
  <c r="C373" i="3"/>
  <c r="C371" i="3"/>
  <c r="C367" i="3"/>
  <c r="C358" i="3"/>
  <c r="C350" i="3"/>
  <c r="C336" i="3"/>
  <c r="C249" i="3"/>
  <c r="C247" i="3"/>
  <c r="C242" i="3"/>
  <c r="C240" i="3"/>
  <c r="C226" i="3"/>
  <c r="C198" i="3"/>
  <c r="C193" i="3"/>
  <c r="C162" i="3"/>
  <c r="C141" i="3"/>
  <c r="C139" i="3"/>
  <c r="C119" i="3"/>
  <c r="C65" i="3"/>
  <c r="C31" i="3"/>
  <c r="C17" i="3"/>
  <c r="C410" i="3"/>
  <c r="C377" i="3"/>
  <c r="C372" i="3"/>
  <c r="C366" i="3"/>
  <c r="C296" i="3"/>
  <c r="C246" i="3"/>
  <c r="C204" i="3"/>
  <c r="C156" i="3"/>
  <c r="C90" i="3"/>
  <c r="C16" i="3"/>
  <c r="D502" i="3"/>
  <c r="D453" i="3"/>
  <c r="D410" i="3"/>
  <c r="D377" i="3"/>
  <c r="D374" i="3"/>
  <c r="D372" i="3"/>
  <c r="D369" i="3"/>
  <c r="D366" i="3"/>
  <c r="D357" i="3"/>
  <c r="D343" i="3"/>
  <c r="D296" i="3"/>
  <c r="D248" i="3"/>
  <c r="D246" i="3"/>
  <c r="D241" i="3"/>
  <c r="D234" i="3"/>
  <c r="D204" i="3"/>
  <c r="D194" i="3"/>
  <c r="D187" i="3"/>
  <c r="D156" i="3"/>
  <c r="D140" i="3"/>
  <c r="D138" i="3"/>
  <c r="D90" i="3"/>
  <c r="D64" i="3"/>
  <c r="D23" i="3"/>
  <c r="D16" i="3"/>
  <c r="C453" i="3"/>
  <c r="C343" i="3"/>
  <c r="C234" i="3"/>
  <c r="C187" i="3"/>
  <c r="C138" i="3"/>
  <c r="C23" i="3"/>
  <c r="D24" i="3"/>
  <c r="D29" i="3"/>
  <c r="D68" i="3"/>
  <c r="D91" i="3"/>
  <c r="D109" i="3"/>
  <c r="D113" i="3"/>
  <c r="D127" i="3"/>
  <c r="D129" i="3"/>
  <c r="D145" i="3"/>
  <c r="D148" i="3"/>
  <c r="D160" i="3"/>
  <c r="D164" i="3"/>
  <c r="D175" i="3"/>
  <c r="D178" i="3"/>
  <c r="D192" i="3"/>
  <c r="D197" i="3"/>
  <c r="D201" i="3"/>
  <c r="D210" i="3"/>
  <c r="D220" i="3"/>
  <c r="D223" i="3"/>
  <c r="D228" i="3"/>
  <c r="D236" i="3"/>
  <c r="D239" i="3"/>
  <c r="D256" i="3"/>
  <c r="D326" i="3"/>
  <c r="D331" i="3"/>
  <c r="D344" i="3"/>
  <c r="D355" i="3"/>
  <c r="D404" i="3"/>
  <c r="D431" i="3"/>
  <c r="D448" i="3"/>
  <c r="D456" i="3"/>
  <c r="D483" i="3"/>
  <c r="D493" i="3"/>
  <c r="C29" i="3"/>
  <c r="C91" i="3"/>
  <c r="C129" i="3"/>
  <c r="C148" i="3"/>
  <c r="C175" i="3"/>
  <c r="C192" i="3"/>
  <c r="C210" i="3"/>
  <c r="C228" i="3"/>
  <c r="C256" i="3"/>
  <c r="C326" i="3"/>
  <c r="C355" i="3"/>
  <c r="C448" i="3"/>
  <c r="C456" i="3"/>
  <c r="C15" i="3"/>
  <c r="C27" i="3"/>
  <c r="C62" i="3"/>
  <c r="C81" i="3"/>
  <c r="C97" i="3"/>
  <c r="C111" i="3"/>
  <c r="C116" i="3"/>
  <c r="C128" i="3"/>
  <c r="C130" i="3"/>
  <c r="C147" i="3"/>
  <c r="C152" i="3"/>
  <c r="C163" i="3"/>
  <c r="C168" i="3"/>
  <c r="C177" i="3"/>
  <c r="C180" i="3"/>
  <c r="C196" i="3"/>
  <c r="C200" i="3"/>
  <c r="C205" i="3"/>
  <c r="C212" i="3"/>
  <c r="C222" i="3"/>
  <c r="C224" i="3"/>
  <c r="C232" i="3"/>
  <c r="C237" i="3"/>
  <c r="C255" i="3"/>
  <c r="C278" i="3"/>
  <c r="C328" i="3"/>
  <c r="C338" i="3"/>
  <c r="C351" i="3"/>
  <c r="C360" i="3"/>
  <c r="C424" i="3"/>
  <c r="C445" i="3"/>
  <c r="C451" i="3"/>
  <c r="C470" i="3"/>
  <c r="C484" i="3"/>
  <c r="C68" i="3"/>
  <c r="C113" i="3"/>
  <c r="C145" i="3"/>
  <c r="C164" i="3"/>
  <c r="C197" i="3"/>
  <c r="C220" i="3"/>
  <c r="C236" i="3"/>
  <c r="C331" i="3"/>
  <c r="C404" i="3"/>
  <c r="C483" i="3"/>
  <c r="D15" i="3"/>
  <c r="D27" i="3"/>
  <c r="D62" i="3"/>
  <c r="D81" i="3"/>
  <c r="D97" i="3"/>
  <c r="D111" i="3"/>
  <c r="D116" i="3"/>
  <c r="D128" i="3"/>
  <c r="D130" i="3"/>
  <c r="D147" i="3"/>
  <c r="D152" i="3"/>
  <c r="D163" i="3"/>
  <c r="D168" i="3"/>
  <c r="D177" i="3"/>
  <c r="D180" i="3"/>
  <c r="D196" i="3"/>
  <c r="D200" i="3"/>
  <c r="D205" i="3"/>
  <c r="D212" i="3"/>
  <c r="D222" i="3"/>
  <c r="D224" i="3"/>
  <c r="D232" i="3"/>
  <c r="D237" i="3"/>
  <c r="D255" i="3"/>
  <c r="D278" i="3"/>
  <c r="D328" i="3"/>
  <c r="D338" i="3"/>
  <c r="D351" i="3"/>
  <c r="D360" i="3"/>
  <c r="D424" i="3"/>
  <c r="D445" i="3"/>
  <c r="D451" i="3"/>
  <c r="D470" i="3"/>
  <c r="D484" i="3"/>
  <c r="C24" i="3"/>
  <c r="C109" i="3"/>
  <c r="C127" i="3"/>
  <c r="C160" i="3"/>
  <c r="C178" i="3"/>
  <c r="C201" i="3"/>
  <c r="C223" i="3"/>
  <c r="C239" i="3"/>
  <c r="C344" i="3"/>
  <c r="C431" i="3"/>
  <c r="C493" i="3"/>
  <c r="C28" i="3"/>
  <c r="C69" i="3"/>
  <c r="C83" i="3"/>
  <c r="C93" i="3"/>
  <c r="C100" i="3"/>
  <c r="C118" i="3"/>
  <c r="C191" i="3"/>
  <c r="C207" i="3"/>
  <c r="C215" i="3"/>
  <c r="C221" i="3"/>
  <c r="C229" i="3"/>
  <c r="C267" i="3"/>
  <c r="C280" i="3"/>
  <c r="C300" i="3"/>
  <c r="C303" i="3"/>
  <c r="C313" i="3"/>
  <c r="C320" i="3"/>
  <c r="C333" i="3"/>
  <c r="C354" i="3"/>
  <c r="C385" i="3"/>
  <c r="C389" i="3"/>
  <c r="C398" i="3"/>
  <c r="C401" i="3"/>
  <c r="C407" i="3"/>
  <c r="C417" i="3"/>
  <c r="C442" i="3"/>
  <c r="C464" i="3"/>
  <c r="C479" i="3"/>
  <c r="D66" i="3"/>
  <c r="D98" i="3"/>
  <c r="D165" i="3"/>
  <c r="D216" i="3"/>
  <c r="D279" i="3"/>
  <c r="D299" i="3"/>
  <c r="D316" i="3"/>
  <c r="D363" i="3"/>
  <c r="D400" i="3"/>
  <c r="D427" i="3"/>
  <c r="D487" i="3"/>
  <c r="D28" i="3"/>
  <c r="D69" i="3"/>
  <c r="D83" i="3"/>
  <c r="D93" i="3"/>
  <c r="D100" i="3"/>
  <c r="D118" i="3"/>
  <c r="D191" i="3"/>
  <c r="D207" i="3"/>
  <c r="D215" i="3"/>
  <c r="D221" i="3"/>
  <c r="D229" i="3"/>
  <c r="D267" i="3"/>
  <c r="D280" i="3"/>
  <c r="D300" i="3"/>
  <c r="D303" i="3"/>
  <c r="D313" i="3"/>
  <c r="D320" i="3"/>
  <c r="D333" i="3"/>
  <c r="D354" i="3"/>
  <c r="D385" i="3"/>
  <c r="D389" i="3"/>
  <c r="D398" i="3"/>
  <c r="D401" i="3"/>
  <c r="D407" i="3"/>
  <c r="D417" i="3"/>
  <c r="D442" i="3"/>
  <c r="D464" i="3"/>
  <c r="D479" i="3"/>
  <c r="D19" i="3"/>
  <c r="D103" i="3"/>
  <c r="D211" i="3"/>
  <c r="D266" i="3"/>
  <c r="D301" i="3"/>
  <c r="D321" i="3"/>
  <c r="D386" i="3"/>
  <c r="D402" i="3"/>
  <c r="D463" i="3"/>
  <c r="C19" i="3"/>
  <c r="C66" i="3"/>
  <c r="C79" i="3"/>
  <c r="C89" i="3"/>
  <c r="C98" i="3"/>
  <c r="C103" i="3"/>
  <c r="C165" i="3"/>
  <c r="C203" i="3"/>
  <c r="C211" i="3"/>
  <c r="C216" i="3"/>
  <c r="C227" i="3"/>
  <c r="C266" i="3"/>
  <c r="C279" i="3"/>
  <c r="C299" i="3"/>
  <c r="C301" i="3"/>
  <c r="C307" i="3"/>
  <c r="C316" i="3"/>
  <c r="C321" i="3"/>
  <c r="C345" i="3"/>
  <c r="C363" i="3"/>
  <c r="C386" i="3"/>
  <c r="C393" i="3"/>
  <c r="C400" i="3"/>
  <c r="C402" i="3"/>
  <c r="C411" i="3"/>
  <c r="C427" i="3"/>
  <c r="C463" i="3"/>
  <c r="C469" i="3"/>
  <c r="C487" i="3"/>
  <c r="D79" i="3"/>
  <c r="D89" i="3"/>
  <c r="D203" i="3"/>
  <c r="D227" i="3"/>
  <c r="D307" i="3"/>
  <c r="D345" i="3"/>
  <c r="D393" i="3"/>
  <c r="D411" i="3"/>
  <c r="D469" i="3"/>
  <c r="D44" i="3"/>
  <c r="D51" i="3"/>
  <c r="D131" i="3"/>
  <c r="D151" i="3"/>
  <c r="D206" i="3"/>
  <c r="D233" i="3"/>
  <c r="D283" i="3"/>
  <c r="D292" i="3"/>
  <c r="D298" i="3"/>
  <c r="D396" i="3"/>
  <c r="D428" i="3"/>
  <c r="D452" i="3"/>
  <c r="C51" i="3"/>
  <c r="C206" i="3"/>
  <c r="C292" i="3"/>
  <c r="C428" i="3"/>
  <c r="C30" i="3"/>
  <c r="C50" i="3"/>
  <c r="C115" i="3"/>
  <c r="C149" i="3"/>
  <c r="C184" i="3"/>
  <c r="C217" i="3"/>
  <c r="C282" i="3"/>
  <c r="C284" i="3"/>
  <c r="C293" i="3"/>
  <c r="C311" i="3"/>
  <c r="C420" i="3"/>
  <c r="C429" i="3"/>
  <c r="C475" i="3"/>
  <c r="C44" i="3"/>
  <c r="C151" i="3"/>
  <c r="C283" i="3"/>
  <c r="C396" i="3"/>
  <c r="D30" i="3"/>
  <c r="D50" i="3"/>
  <c r="D115" i="3"/>
  <c r="D149" i="3"/>
  <c r="D184" i="3"/>
  <c r="D217" i="3"/>
  <c r="D282" i="3"/>
  <c r="D284" i="3"/>
  <c r="D293" i="3"/>
  <c r="D311" i="3"/>
  <c r="D420" i="3"/>
  <c r="D429" i="3"/>
  <c r="D475" i="3"/>
  <c r="C131" i="3"/>
  <c r="C233" i="3"/>
  <c r="C298" i="3"/>
  <c r="C452" i="3"/>
  <c r="C6" i="3"/>
  <c r="C10" i="3"/>
  <c r="C54" i="3"/>
  <c r="C59" i="3"/>
  <c r="C101" i="3"/>
  <c r="C121" i="3"/>
  <c r="C134" i="3"/>
  <c r="C136" i="3"/>
  <c r="C182" i="3"/>
  <c r="C202" i="3"/>
  <c r="C238" i="3"/>
  <c r="C251" i="3"/>
  <c r="C258" i="3"/>
  <c r="C264" i="3"/>
  <c r="C290" i="3"/>
  <c r="C318" i="3"/>
  <c r="C322" i="3"/>
  <c r="C324" i="3"/>
  <c r="C376" i="3"/>
  <c r="C387" i="3"/>
  <c r="C392" i="3"/>
  <c r="C467" i="3"/>
  <c r="D21" i="3"/>
  <c r="D107" i="3"/>
  <c r="D167" i="3"/>
  <c r="D218" i="3"/>
  <c r="D263" i="3"/>
  <c r="D323" i="3"/>
  <c r="D362" i="3"/>
  <c r="D394" i="3"/>
  <c r="D6" i="3"/>
  <c r="D10" i="3"/>
  <c r="D54" i="3"/>
  <c r="D59" i="3"/>
  <c r="D101" i="3"/>
  <c r="D121" i="3"/>
  <c r="D134" i="3"/>
  <c r="D136" i="3"/>
  <c r="D182" i="3"/>
  <c r="D202" i="3"/>
  <c r="D238" i="3"/>
  <c r="D251" i="3"/>
  <c r="D258" i="3"/>
  <c r="D264" i="3"/>
  <c r="D290" i="3"/>
  <c r="D318" i="3"/>
  <c r="D322" i="3"/>
  <c r="D324" i="3"/>
  <c r="D376" i="3"/>
  <c r="D387" i="3"/>
  <c r="D392" i="3"/>
  <c r="D467" i="3"/>
  <c r="D58" i="3"/>
  <c r="D133" i="3"/>
  <c r="D189" i="3"/>
  <c r="D252" i="3"/>
  <c r="D315" i="3"/>
  <c r="D391" i="3"/>
  <c r="C8" i="3"/>
  <c r="C21" i="3"/>
  <c r="C58" i="3"/>
  <c r="C84" i="3"/>
  <c r="C107" i="3"/>
  <c r="C133" i="3"/>
  <c r="C135" i="3"/>
  <c r="C167" i="3"/>
  <c r="C189" i="3"/>
  <c r="C218" i="3"/>
  <c r="C250" i="3"/>
  <c r="C252" i="3"/>
  <c r="C263" i="3"/>
  <c r="C276" i="3"/>
  <c r="C315" i="3"/>
  <c r="C319" i="3"/>
  <c r="C323" i="3"/>
  <c r="C362" i="3"/>
  <c r="C382" i="3"/>
  <c r="C391" i="3"/>
  <c r="C394" i="3"/>
  <c r="C472" i="3"/>
  <c r="D8" i="3"/>
  <c r="D84" i="3"/>
  <c r="D135" i="3"/>
  <c r="D250" i="3"/>
  <c r="D276" i="3"/>
  <c r="D319" i="3"/>
  <c r="D382" i="3"/>
  <c r="D472" i="3"/>
  <c r="C49" i="3"/>
  <c r="B513" i="3"/>
  <c r="C71" i="3"/>
  <c r="D71" i="3"/>
  <c r="C310" i="3"/>
  <c r="D310" i="3"/>
  <c r="C501" i="3"/>
  <c r="D501" i="3"/>
  <c r="C75" i="3"/>
  <c r="D75" i="3"/>
  <c r="C449" i="3"/>
  <c r="D449" i="3"/>
  <c r="C474" i="3"/>
  <c r="D474" i="3"/>
  <c r="D468" i="3"/>
  <c r="C468" i="3"/>
  <c r="D76" i="3"/>
  <c r="C76" i="3"/>
  <c r="D176" i="3"/>
  <c r="C176" i="3"/>
  <c r="D476" i="3"/>
  <c r="C476" i="3"/>
  <c r="C365" i="3"/>
  <c r="D365" i="3"/>
  <c r="D146" i="3"/>
  <c r="C146" i="3"/>
  <c r="D295" i="3"/>
  <c r="C295" i="3"/>
  <c r="D171" i="3"/>
  <c r="C171" i="3"/>
  <c r="C438" i="3"/>
  <c r="D438" i="3"/>
  <c r="C309" i="3"/>
  <c r="D309" i="3"/>
  <c r="C426" i="3"/>
  <c r="D426" i="3"/>
  <c r="D186" i="3"/>
  <c r="C186" i="3"/>
  <c r="D434" i="3"/>
  <c r="C434" i="3"/>
  <c r="C77" i="3"/>
  <c r="D77" i="3"/>
  <c r="C105" i="3"/>
  <c r="D105" i="3"/>
  <c r="D440" i="3"/>
  <c r="C440" i="3"/>
  <c r="D399" i="3"/>
  <c r="C399" i="3"/>
  <c r="D137" i="3"/>
  <c r="C137" i="3"/>
  <c r="D317" i="3"/>
  <c r="C317" i="3"/>
  <c r="D22" i="3"/>
  <c r="C22" i="3"/>
  <c r="C52" i="3"/>
  <c r="D52" i="3"/>
  <c r="D297" i="3"/>
  <c r="C297" i="3"/>
  <c r="D446" i="3"/>
  <c r="C446" i="3"/>
  <c r="C78" i="3"/>
  <c r="D78" i="3"/>
  <c r="D384" i="3"/>
  <c r="C384" i="3"/>
  <c r="C243" i="3"/>
  <c r="D243" i="3"/>
  <c r="C481" i="3"/>
  <c r="D481" i="3"/>
  <c r="C110" i="3"/>
  <c r="D110" i="3"/>
  <c r="C304" i="3"/>
  <c r="D304" i="3"/>
  <c r="B514" i="3"/>
  <c r="C265" i="3"/>
  <c r="C494" i="3"/>
  <c r="C491" i="3"/>
  <c r="C294" i="3"/>
  <c r="C473" i="3"/>
  <c r="C397" i="3"/>
  <c r="C104" i="3"/>
  <c r="C94" i="3"/>
  <c r="C432" i="3"/>
  <c r="C43" i="3"/>
  <c r="C87" i="3"/>
  <c r="C423" i="3"/>
  <c r="C82" i="3"/>
  <c r="C170" i="3"/>
  <c r="C123" i="3"/>
  <c r="C308" i="3"/>
  <c r="C492" i="3"/>
  <c r="C70" i="3"/>
  <c r="C359" i="3"/>
  <c r="C466" i="3"/>
  <c r="C5" i="3"/>
  <c r="C325" i="3"/>
  <c r="C422" i="3"/>
  <c r="C41" i="3"/>
  <c r="C235" i="3"/>
  <c r="C312" i="3"/>
  <c r="C39" i="3"/>
  <c r="C37" i="3"/>
  <c r="C144" i="3"/>
  <c r="C478" i="3"/>
  <c r="D39" i="3"/>
  <c r="C436" i="3"/>
  <c r="C42" i="3"/>
  <c r="C416" i="3"/>
  <c r="D473" i="3"/>
  <c r="C38" i="3"/>
  <c r="D235" i="3"/>
  <c r="C378" i="3"/>
  <c r="D104" i="3"/>
  <c r="D170" i="3"/>
  <c r="C458" i="3"/>
  <c r="D422" i="3"/>
  <c r="C122" i="3"/>
  <c r="D36" i="3"/>
  <c r="D455" i="3"/>
  <c r="D143" i="3"/>
  <c r="D214" i="3"/>
  <c r="D124" i="3"/>
  <c r="D416" i="3"/>
  <c r="D94" i="3"/>
  <c r="D35" i="3"/>
  <c r="D378" i="3"/>
  <c r="D379" i="3"/>
  <c r="D43" i="3"/>
  <c r="D123" i="3"/>
  <c r="C455" i="3"/>
  <c r="C257" i="3"/>
  <c r="C499" i="3"/>
  <c r="C36" i="3"/>
  <c r="D82" i="3"/>
  <c r="D415" i="3"/>
  <c r="D462" i="3"/>
  <c r="D272" i="3"/>
  <c r="D397" i="3"/>
  <c r="D294" i="3"/>
  <c r="D359" i="3"/>
  <c r="C124" i="3"/>
  <c r="D144" i="3"/>
  <c r="D37" i="3"/>
  <c r="C433" i="3"/>
  <c r="D41" i="3"/>
  <c r="D70" i="3"/>
  <c r="D265" i="3"/>
  <c r="C272" i="3"/>
  <c r="D432" i="3"/>
  <c r="D466" i="3"/>
  <c r="D478" i="3"/>
  <c r="D40" i="3"/>
  <c r="D38" i="3"/>
  <c r="D436" i="3"/>
  <c r="D499" i="3"/>
  <c r="D348" i="3"/>
  <c r="D87" i="3"/>
  <c r="D312" i="3"/>
  <c r="C462" i="3"/>
  <c r="D308" i="3"/>
  <c r="C35" i="3"/>
  <c r="C415" i="3"/>
  <c r="D491" i="3"/>
  <c r="D325" i="3"/>
  <c r="C214" i="3"/>
  <c r="C348" i="3"/>
  <c r="D423" i="3"/>
  <c r="D492" i="3"/>
  <c r="D458" i="3"/>
  <c r="D433" i="3"/>
  <c r="D421" i="3"/>
  <c r="C143" i="3"/>
  <c r="C421" i="3"/>
  <c r="C40" i="3"/>
  <c r="D5" i="3"/>
  <c r="C379" i="3"/>
  <c r="D494" i="3"/>
  <c r="D122" i="3"/>
  <c r="D257" i="3"/>
  <c r="D42" i="3"/>
  <c r="C334" i="3"/>
  <c r="D334" i="3"/>
  <c r="C60" i="3"/>
  <c r="D60" i="3"/>
  <c r="C337" i="3"/>
  <c r="D337" i="3"/>
  <c r="D49" i="3"/>
  <c r="B377" i="2"/>
  <c r="D377" i="2" s="1"/>
  <c r="B370" i="2"/>
  <c r="D370" i="2" s="1"/>
  <c r="B381" i="2"/>
  <c r="D381" i="2" s="1"/>
  <c r="D379" i="2"/>
  <c r="D364" i="2"/>
  <c r="D373" i="2"/>
  <c r="D335" i="3"/>
  <c r="D19" i="23"/>
  <c r="B414" i="3" s="1"/>
  <c r="D27" i="23"/>
  <c r="B92" i="3"/>
  <c r="B390" i="3"/>
  <c r="D5" i="23"/>
  <c r="D39" i="17"/>
  <c r="D19" i="27"/>
  <c r="B435" i="3"/>
  <c r="D55" i="27"/>
  <c r="B447" i="3" s="1"/>
  <c r="D25" i="27"/>
  <c r="C335" i="3"/>
  <c r="D29" i="27"/>
  <c r="B150" i="3" s="1"/>
  <c r="D48" i="27"/>
  <c r="B443" i="3" s="1"/>
  <c r="D3" i="27"/>
  <c r="D6" i="27" s="1"/>
  <c r="D36" i="33"/>
  <c r="D17" i="33"/>
  <c r="B61" i="3" s="1"/>
  <c r="D29" i="33"/>
  <c r="B80" i="3" s="1"/>
  <c r="D3" i="33"/>
  <c r="D6" i="33" s="1"/>
  <c r="D40" i="33"/>
  <c r="D27" i="61"/>
  <c r="D25" i="61"/>
  <c r="B459" i="3"/>
  <c r="C390" i="3" l="1"/>
  <c r="D390" i="3"/>
  <c r="C80" i="3"/>
  <c r="D80" i="3"/>
  <c r="D61" i="3"/>
  <c r="C61" i="3"/>
  <c r="D443" i="3"/>
  <c r="C443" i="3"/>
  <c r="D447" i="3"/>
  <c r="C447" i="3"/>
  <c r="D92" i="3"/>
  <c r="C92" i="3"/>
  <c r="C459" i="3"/>
  <c r="D459" i="3"/>
  <c r="C150" i="3"/>
  <c r="D150" i="3"/>
  <c r="C435" i="3"/>
  <c r="D435" i="3"/>
  <c r="C414" i="3"/>
  <c r="D414" i="3"/>
  <c r="D25" i="23"/>
  <c r="B33" i="3"/>
  <c r="D59" i="27"/>
  <c r="D61" i="27"/>
  <c r="D23" i="23"/>
  <c r="B99" i="3"/>
  <c r="D57" i="27"/>
  <c r="B388" i="3"/>
  <c r="D48" i="33"/>
  <c r="D46" i="33"/>
  <c r="D44" i="33"/>
  <c r="B510" i="3" l="1"/>
  <c r="B508" i="3"/>
  <c r="B505" i="3"/>
  <c r="B507" i="3"/>
  <c r="B509" i="3"/>
  <c r="D99" i="3"/>
  <c r="C99" i="3"/>
  <c r="D388" i="3"/>
  <c r="C388" i="3"/>
  <c r="C33" i="3"/>
  <c r="D33" i="3"/>
  <c r="B383" i="2" l="1"/>
  <c r="D383" i="2" l="1"/>
</calcChain>
</file>

<file path=xl/sharedStrings.xml><?xml version="1.0" encoding="utf-8"?>
<sst xmlns="http://schemas.openxmlformats.org/spreadsheetml/2006/main" count="32755" uniqueCount="16848">
  <si>
    <t>Randwick, Whiteshill and Ruscombe</t>
  </si>
  <si>
    <t>Dorchester East</t>
  </si>
  <si>
    <t>Dorchester North</t>
  </si>
  <si>
    <t>Dorchester South</t>
  </si>
  <si>
    <t>Dorchester West</t>
  </si>
  <si>
    <t>Frome Valley</t>
  </si>
  <si>
    <t>Maiden Newton</t>
  </si>
  <si>
    <t>Netherbury</t>
  </si>
  <si>
    <t>Westham East</t>
  </si>
  <si>
    <t>Westham North</t>
  </si>
  <si>
    <t>Westham West</t>
  </si>
  <si>
    <t>Wey Valley</t>
  </si>
  <si>
    <t>Weymouth East</t>
  </si>
  <si>
    <t>Weymouth West</t>
  </si>
  <si>
    <t>Wyke Regis</t>
  </si>
  <si>
    <t>* as created by The Weymouth and Portland (Electoral Changes) Order 2002</t>
  </si>
  <si>
    <t>Sedgemoor (pt)</t>
  </si>
  <si>
    <t>Somerton and Frome CC</t>
  </si>
  <si>
    <t>Mendip (pt)</t>
  </si>
  <si>
    <t>South Somerset (pt)</t>
  </si>
  <si>
    <t>Taunton Deane CC</t>
  </si>
  <si>
    <t>Wells CC</t>
  </si>
  <si>
    <t>Yeovil CC</t>
  </si>
  <si>
    <t>MENDIP DISTRICT  *</t>
  </si>
  <si>
    <t>Ammerdown</t>
  </si>
  <si>
    <t>Ashwick, Chilcompton and Stratton</t>
  </si>
  <si>
    <t>Beckington and Selwood</t>
  </si>
  <si>
    <t>Butleigh and Baltonsborough</t>
  </si>
  <si>
    <t>Chewton Mendip and Ston Easton</t>
  </si>
  <si>
    <t>Coleford and Holcombe</t>
  </si>
  <si>
    <t>Cranmore, Doulting and Nunney</t>
  </si>
  <si>
    <t>Creech</t>
  </si>
  <si>
    <t>Croscombe and Pilton</t>
  </si>
  <si>
    <t>Frome Berkley Down</t>
  </si>
  <si>
    <t>Frome College</t>
  </si>
  <si>
    <t>Frome Keyford</t>
  </si>
  <si>
    <t>Frome Market</t>
  </si>
  <si>
    <t>Frome Oakfield</t>
  </si>
  <si>
    <t>Frome Park</t>
  </si>
  <si>
    <t>Glastonbury St Benedict's</t>
  </si>
  <si>
    <t>Glastonbury St Edmund's</t>
  </si>
  <si>
    <t>Glastonbury St John's</t>
  </si>
  <si>
    <t>Glastonbury St Mary's</t>
  </si>
  <si>
    <t>Postlebury</t>
  </si>
  <si>
    <t>Rode and Norton St Philip</t>
  </si>
  <si>
    <t>Rodney and Westbury</t>
  </si>
  <si>
    <t>St Cuthbert Out North</t>
  </si>
  <si>
    <t>Shepton East</t>
  </si>
  <si>
    <t>Westerleigh</t>
  </si>
  <si>
    <t>Winterbourne</t>
  </si>
  <si>
    <t>Yate Central</t>
  </si>
  <si>
    <t>Yate North</t>
  </si>
  <si>
    <t>* as created by The District of South Gloucestershire (Electoral Changes) Order 2006</t>
  </si>
  <si>
    <t>ISLES OF SCILLY</t>
  </si>
  <si>
    <t>Camborne and Redruth CC</t>
  </si>
  <si>
    <t>Tower</t>
  </si>
  <si>
    <t>Yeovil Without</t>
  </si>
  <si>
    <t>* as created by The District of South Somerset (Electoral Changes) Order 1998</t>
  </si>
  <si>
    <t>TAUNTON DEANE BOROUGH  *</t>
  </si>
  <si>
    <t>Bishop's Hull</t>
  </si>
  <si>
    <t>Bishop's Lydeard</t>
  </si>
  <si>
    <t>Bradford-on-Tone</t>
  </si>
  <si>
    <t>Comeytrowe</t>
  </si>
  <si>
    <t>Milverton and North Deane</t>
  </si>
  <si>
    <t>Monument</t>
  </si>
  <si>
    <t>North Curry and Stoke St Gregory</t>
  </si>
  <si>
    <t>Norton Fitzwarren</t>
  </si>
  <si>
    <t>Salisbury St Francis and Stratford</t>
  </si>
  <si>
    <t>Salisbury St Mark's and Bishopdown</t>
  </si>
  <si>
    <t>Salisbury St Martin's and Cathedral</t>
  </si>
  <si>
    <t>Salisbury St Paul's</t>
  </si>
  <si>
    <t>Sherston</t>
  </si>
  <si>
    <t>Southwick</t>
  </si>
  <si>
    <t>Town Centre</t>
  </si>
  <si>
    <t>Littlemoor</t>
  </si>
  <si>
    <t>Upper Yeo</t>
  </si>
  <si>
    <t>Way</t>
  </si>
  <si>
    <t>Westexe</t>
  </si>
  <si>
    <t>Yeo</t>
  </si>
  <si>
    <t>NORTH DEVON DISTRICT  *</t>
  </si>
  <si>
    <t>Bickington and Roundswell</t>
  </si>
  <si>
    <t>Bishop's Nympton</t>
  </si>
  <si>
    <t>Bratton Fleming</t>
  </si>
  <si>
    <t>Braunton East</t>
  </si>
  <si>
    <t>Braunton West</t>
  </si>
  <si>
    <t>Central Town</t>
  </si>
  <si>
    <t>Chittlehampton</t>
  </si>
  <si>
    <t>Chulmleigh</t>
  </si>
  <si>
    <t>Combe Martin</t>
  </si>
  <si>
    <t>Forches and Whiddon Valley</t>
  </si>
  <si>
    <t>Fremington</t>
  </si>
  <si>
    <t>Georgeham and Mortehoe</t>
  </si>
  <si>
    <t>Heanton Punchardon</t>
  </si>
  <si>
    <t>Ilfracombe Central</t>
  </si>
  <si>
    <t>Exeter (pt)</t>
  </si>
  <si>
    <t>Exeter BC</t>
  </si>
  <si>
    <t>Newton Abbot CC</t>
  </si>
  <si>
    <t>North Devon CC</t>
  </si>
  <si>
    <t>Plymouth (pt)</t>
  </si>
  <si>
    <t>Ilfracombe East</t>
  </si>
  <si>
    <t>Corsham Pickwick</t>
  </si>
  <si>
    <t>Truro Boscawen</t>
  </si>
  <si>
    <t>Truro Tregolls</t>
  </si>
  <si>
    <t>Truro Trehaverne</t>
  </si>
  <si>
    <t>Camelford</t>
  </si>
  <si>
    <t>Falmouth Arwenack</t>
  </si>
  <si>
    <t>Falmouth Boslowick</t>
  </si>
  <si>
    <t>Falmouth Penwerris</t>
  </si>
  <si>
    <t>Bristol *</t>
  </si>
  <si>
    <t>Tidenham</t>
  </si>
  <si>
    <t>* as created by The District of Forest of Dean (Electoral Changes) Order 2001</t>
  </si>
  <si>
    <t>CITY OF GLOUCESTER  *</t>
  </si>
  <si>
    <t>Barnwood</t>
  </si>
  <si>
    <t>Cainscross</t>
  </si>
  <si>
    <t>Bridgwater Eastover</t>
  </si>
  <si>
    <t>Bridgwater Hamp</t>
  </si>
  <si>
    <t>Bridgwater Victoria</t>
  </si>
  <si>
    <t>Burnham North</t>
  </si>
  <si>
    <t>Cheddar and Shipham</t>
  </si>
  <si>
    <t>Chippenham Hardenhuish</t>
  </si>
  <si>
    <t>Alderholt</t>
  </si>
  <si>
    <t>Ameysford</t>
  </si>
  <si>
    <t>Colehill East</t>
  </si>
  <si>
    <t>Colehill West</t>
  </si>
  <si>
    <t>Crane</t>
  </si>
  <si>
    <t>CHRISTCHURCH BOROUGH  *</t>
  </si>
  <si>
    <t>Burton and Winkton</t>
  </si>
  <si>
    <t>Highcliffe</t>
  </si>
  <si>
    <t>Jumpers</t>
  </si>
  <si>
    <t>Mudeford and Friars Cliff</t>
  </si>
  <si>
    <t>North Highcliffe and Walkford</t>
  </si>
  <si>
    <t>Portfield</t>
  </si>
  <si>
    <t>PURBECK DISTRICT  *</t>
  </si>
  <si>
    <t>Bere Regis</t>
  </si>
  <si>
    <t>Creech Barrow</t>
  </si>
  <si>
    <t>Langton</t>
  </si>
  <si>
    <t>Lytchett Matravers</t>
  </si>
  <si>
    <t>Lytchett Minster and Upton East</t>
  </si>
  <si>
    <t>Lytchett Minster and Upton West</t>
  </si>
  <si>
    <t>Swanage North</t>
  </si>
  <si>
    <t>Swanage South</t>
  </si>
  <si>
    <t>Wareham</t>
  </si>
  <si>
    <t>Wool</t>
  </si>
  <si>
    <t>South Dorset CC (pt)</t>
  </si>
  <si>
    <t>South Gloucestershire (pt)</t>
  </si>
  <si>
    <t>Kingswood BC</t>
  </si>
  <si>
    <t>Keynsham East</t>
  </si>
  <si>
    <t>Keynsham North</t>
  </si>
  <si>
    <t>Keynsham South</t>
  </si>
  <si>
    <t>Kingsmead</t>
  </si>
  <si>
    <t>Lambridge</t>
  </si>
  <si>
    <t>Lansdown</t>
  </si>
  <si>
    <t>Lyncombe</t>
  </si>
  <si>
    <t>Midsomer Norton North</t>
  </si>
  <si>
    <t>Midsomer Norton Redfield</t>
  </si>
  <si>
    <t>Newbridge</t>
  </si>
  <si>
    <t>Odd Down</t>
  </si>
  <si>
    <t>Oldfield</t>
  </si>
  <si>
    <t>Paulton</t>
  </si>
  <si>
    <t>Peasedown</t>
  </si>
  <si>
    <t>Publow and Whitchurch</t>
  </si>
  <si>
    <t>Radstock</t>
  </si>
  <si>
    <t>Saltford</t>
  </si>
  <si>
    <t>Southdown</t>
  </si>
  <si>
    <t>Timsbury</t>
  </si>
  <si>
    <t>Twerton</t>
  </si>
  <si>
    <t>Walcot</t>
  </si>
  <si>
    <t>Westfield</t>
  </si>
  <si>
    <t>Westmoreland</t>
  </si>
  <si>
    <t>Weston</t>
  </si>
  <si>
    <t>SWINDON BOROUGH  *</t>
  </si>
  <si>
    <t>North Swindon CC</t>
  </si>
  <si>
    <t>Swindon (pt)</t>
  </si>
  <si>
    <t>South Swindon CC</t>
  </si>
  <si>
    <t>Longwell Green</t>
  </si>
  <si>
    <t>Oldland Common</t>
  </si>
  <si>
    <t>Parkwall</t>
  </si>
  <si>
    <t>Patchway</t>
  </si>
  <si>
    <t>Pilning and Severn Beach</t>
  </si>
  <si>
    <t>Rodway</t>
  </si>
  <si>
    <t>Siston</t>
  </si>
  <si>
    <t>Staple Hill</t>
  </si>
  <si>
    <t>Stoke Gifford</t>
  </si>
  <si>
    <t>Thornbury North</t>
  </si>
  <si>
    <t>Thornbury South and Alveston</t>
  </si>
  <si>
    <t>Charfield</t>
  </si>
  <si>
    <t>Chipping Sodbury</t>
  </si>
  <si>
    <t>Cotswold Edge</t>
  </si>
  <si>
    <t>Dodington</t>
  </si>
  <si>
    <t>Downend</t>
  </si>
  <si>
    <t>Emersons Green</t>
  </si>
  <si>
    <t>Filton</t>
  </si>
  <si>
    <t>Frenchay and Stoke Park</t>
  </si>
  <si>
    <t>Hanham</t>
  </si>
  <si>
    <t>Kings Chase</t>
  </si>
  <si>
    <t>Ladden Brook</t>
  </si>
  <si>
    <t>DEVON  *</t>
  </si>
  <si>
    <t>CITY OF PLYMOUTH  *</t>
  </si>
  <si>
    <t>Peverell</t>
  </si>
  <si>
    <t>Plympton Chaddlewood</t>
  </si>
  <si>
    <t>Plympton Erle</t>
  </si>
  <si>
    <t>Plympton St Mary</t>
  </si>
  <si>
    <t>Plymstock Dunstone</t>
  </si>
  <si>
    <t>Plymstock Radford</t>
  </si>
  <si>
    <t>St Budeaux</t>
  </si>
  <si>
    <t>St Peter and the Waterfront</t>
  </si>
  <si>
    <t>Southway</t>
  </si>
  <si>
    <t>Stoke</t>
  </si>
  <si>
    <t>Newton Poppleford and Harpford</t>
  </si>
  <si>
    <t>Ottery St Mary Rural</t>
  </si>
  <si>
    <t>Ottery St Mary Town</t>
  </si>
  <si>
    <t>Otterhead</t>
  </si>
  <si>
    <t>Raleigh</t>
  </si>
  <si>
    <t>Watcombe</t>
  </si>
  <si>
    <t>Wellswood</t>
  </si>
  <si>
    <t>Totnes CC (pt)</t>
  </si>
  <si>
    <t>* as created by The Borough of Torbay (Electoral Changes) Order 2002</t>
  </si>
  <si>
    <t>EAST DEVON DISTRICT  *</t>
  </si>
  <si>
    <t>Axminster Rural</t>
  </si>
  <si>
    <t>Axminster Town</t>
  </si>
  <si>
    <t>Beer and Branscombe</t>
  </si>
  <si>
    <t>Broadclyst</t>
  </si>
  <si>
    <t>Budleigh</t>
  </si>
  <si>
    <t>Clyst Valley</t>
  </si>
  <si>
    <t>Coly Valley</t>
  </si>
  <si>
    <t>Dunkeswell</t>
  </si>
  <si>
    <t>Exe Valley</t>
  </si>
  <si>
    <t>Exmouth Brixington</t>
  </si>
  <si>
    <t>Exmouth Halsdon</t>
  </si>
  <si>
    <t>Exmouth Littleham</t>
  </si>
  <si>
    <t>Exmouth Town</t>
  </si>
  <si>
    <t>Exmouth Withycombe Raleigh</t>
  </si>
  <si>
    <t>Feniton and Buckerell</t>
  </si>
  <si>
    <t>Honiton St Michael's</t>
  </si>
  <si>
    <t>Honiton St Paul's</t>
  </si>
  <si>
    <t>Newbridges</t>
  </si>
  <si>
    <t>Piddle Valley</t>
  </si>
  <si>
    <t>Puddletown</t>
  </si>
  <si>
    <t>Queen Thorne</t>
  </si>
  <si>
    <t>Sherborne East</t>
  </si>
  <si>
    <t>Sherborne West</t>
  </si>
  <si>
    <t>Winterborne St Martin</t>
  </si>
  <si>
    <t>Charterlands</t>
  </si>
  <si>
    <t>Buckland and Milber</t>
  </si>
  <si>
    <t>Bushell</t>
  </si>
  <si>
    <t>Chudleigh</t>
  </si>
  <si>
    <t>College</t>
  </si>
  <si>
    <t>Dawlish Central and North East</t>
  </si>
  <si>
    <t>Dawlish South West</t>
  </si>
  <si>
    <t>Haytor</t>
  </si>
  <si>
    <t>Ipplepen</t>
  </si>
  <si>
    <t>Kenn Valley</t>
  </si>
  <si>
    <t>Kenton with Starcross</t>
  </si>
  <si>
    <t>Ilfracombe West</t>
  </si>
  <si>
    <t>Instow</t>
  </si>
  <si>
    <t>Landkey, Swimbridge and Taw</t>
  </si>
  <si>
    <t>Lynton and Lynmouth</t>
  </si>
  <si>
    <t>Cranmore</t>
  </si>
  <si>
    <t>Cullompton North</t>
  </si>
  <si>
    <t>Cullompton Outer</t>
  </si>
  <si>
    <t>Halberton</t>
  </si>
  <si>
    <t>Lawrence</t>
  </si>
  <si>
    <t>Lower Culm</t>
  </si>
  <si>
    <t>Lowman</t>
  </si>
  <si>
    <t>Newbrooke</t>
  </si>
  <si>
    <t>Sandford and Creedy</t>
  </si>
  <si>
    <t>Silverton</t>
  </si>
  <si>
    <t>Taw</t>
  </si>
  <si>
    <t>Taw Vale</t>
  </si>
  <si>
    <t>Upper Culm</t>
  </si>
  <si>
    <t>Teign Valley</t>
  </si>
  <si>
    <t>WEYMOUTH AND PORTLAND BOROUGH  *</t>
  </si>
  <si>
    <t>Melcombe Regis</t>
  </si>
  <si>
    <t>Radipole</t>
  </si>
  <si>
    <t>Tophill East</t>
  </si>
  <si>
    <t>Tophill West</t>
  </si>
  <si>
    <t>Upwey and Broadwey</t>
  </si>
  <si>
    <t>TORRIDGE DISTRICT  *</t>
  </si>
  <si>
    <t>Appledore</t>
  </si>
  <si>
    <t>Bideford East</t>
  </si>
  <si>
    <t>Bideford North</t>
  </si>
  <si>
    <t>Bideford South</t>
  </si>
  <si>
    <t>Clinton</t>
  </si>
  <si>
    <t>Clovelly Bay</t>
  </si>
  <si>
    <t>Coham Bridge</t>
  </si>
  <si>
    <t>Ward Electorates</t>
  </si>
  <si>
    <t>Constituency</t>
  </si>
  <si>
    <t>Bugle</t>
  </si>
  <si>
    <t>Callington</t>
  </si>
  <si>
    <t>Gwinear-Gwithian and St Erth</t>
  </si>
  <si>
    <t>Central Devon CC</t>
  </si>
  <si>
    <t>East Devon (pt)</t>
  </si>
  <si>
    <t>Mid Devon (pt)</t>
  </si>
  <si>
    <t>Teignbridge (pt)</t>
  </si>
  <si>
    <t>West Devon (pt)</t>
  </si>
  <si>
    <t>East Devon CC</t>
  </si>
  <si>
    <t>South Hams (pt)</t>
  </si>
  <si>
    <t>Tiverton and Honiton CC</t>
  </si>
  <si>
    <t>Torbay BC</t>
  </si>
  <si>
    <t>Torbay (pt)</t>
  </si>
  <si>
    <t>Totnes CC</t>
  </si>
  <si>
    <t>Torbay BC (pt)</t>
  </si>
  <si>
    <t>Stow</t>
  </si>
  <si>
    <t>Park</t>
  </si>
  <si>
    <t>Fosseridge</t>
  </si>
  <si>
    <t>Northleach</t>
  </si>
  <si>
    <t>Sandywell</t>
  </si>
  <si>
    <t>The Cotswolds CC (pt)</t>
  </si>
  <si>
    <t>Chesterton</t>
  </si>
  <si>
    <t>Cam East</t>
  </si>
  <si>
    <t>Cam West</t>
  </si>
  <si>
    <t>Chalford</t>
  </si>
  <si>
    <t>Coaley and Uley</t>
  </si>
  <si>
    <t>Dursley</t>
  </si>
  <si>
    <t>Eastington and Standish</t>
  </si>
  <si>
    <t>Farmhill and Paganhill</t>
  </si>
  <si>
    <t>Huntspill and Pawlett</t>
  </si>
  <si>
    <t>King's Isle</t>
  </si>
  <si>
    <t>Knoll</t>
  </si>
  <si>
    <t>North Petherton</t>
  </si>
  <si>
    <t>Trull</t>
  </si>
  <si>
    <t>Wellington East</t>
  </si>
  <si>
    <t>Wellington North</t>
  </si>
  <si>
    <t>Wellington Rockwell Green and West</t>
  </si>
  <si>
    <t>West Monkton</t>
  </si>
  <si>
    <t>Wiveliscombe and West Deane</t>
  </si>
  <si>
    <t>* as created by The Borough of Taunton Deane (Electoral Changes) Order 2007</t>
  </si>
  <si>
    <t>WEST SOMERSET DISTRICT  *</t>
  </si>
  <si>
    <t>Carhampton and Withycombe</t>
  </si>
  <si>
    <t>Crowcombe and Stogumber</t>
  </si>
  <si>
    <t>Minehead North</t>
  </si>
  <si>
    <t>Minehead South</t>
  </si>
  <si>
    <t>Old Cleeve</t>
  </si>
  <si>
    <t>Porlock and District</t>
  </si>
  <si>
    <t>Quantock Vale</t>
  </si>
  <si>
    <t>Watchet</t>
  </si>
  <si>
    <t>West Quantock</t>
  </si>
  <si>
    <t>Williton</t>
  </si>
  <si>
    <t>37.</t>
  </si>
  <si>
    <t>38.</t>
  </si>
  <si>
    <t>39.</t>
  </si>
  <si>
    <t>Eastcott</t>
  </si>
  <si>
    <t>Gorse Hill and Pinehurst</t>
  </si>
  <si>
    <t>Haydon Wick</t>
  </si>
  <si>
    <t>SOUTH SOMERSET DISTRICT</t>
  </si>
  <si>
    <t>TAUNTON DEANE BOROUGH</t>
  </si>
  <si>
    <t>WEST SOMERSET DISTRICT</t>
  </si>
  <si>
    <t>Bridgwater and West Somerset CC</t>
  </si>
  <si>
    <t>Yeovil East</t>
  </si>
  <si>
    <t>Yeovil South</t>
  </si>
  <si>
    <t>Yeovil West</t>
  </si>
  <si>
    <t>Taunton Pyrland and Rowbarton</t>
  </si>
  <si>
    <t>South East Cornwall CC</t>
  </si>
  <si>
    <t>St Ives CC</t>
  </si>
  <si>
    <t>Ruishton and Creech</t>
  </si>
  <si>
    <t>Staplegrove</t>
  </si>
  <si>
    <t>Taunton Blackbrook and Holway</t>
  </si>
  <si>
    <t>Taunton Eastgate</t>
  </si>
  <si>
    <t>Melksham Without North</t>
  </si>
  <si>
    <t>Melksham South</t>
  </si>
  <si>
    <t>Melksham Without South</t>
  </si>
  <si>
    <t>Mere</t>
  </si>
  <si>
    <t>Minety</t>
  </si>
  <si>
    <t>Nadder and East Knoyle</t>
  </si>
  <si>
    <t>Pewsey</t>
  </si>
  <si>
    <t>Pewsey Vale</t>
  </si>
  <si>
    <t>Purton</t>
  </si>
  <si>
    <t>Redlynch and Landford</t>
  </si>
  <si>
    <t>Roundway</t>
  </si>
  <si>
    <t>Salisbury Bemerton</t>
  </si>
  <si>
    <t>Salisbury Fisherton and Bemerton Village</t>
  </si>
  <si>
    <t>Salisbury Harnham</t>
  </si>
  <si>
    <t>Salisbury St Edmund and Milford</t>
  </si>
  <si>
    <t>The Lavingtons and Erlestoke</t>
  </si>
  <si>
    <t>Summerham and Seend</t>
  </si>
  <si>
    <t>The Collingbournes and Netheravon</t>
  </si>
  <si>
    <t>35.</t>
  </si>
  <si>
    <t>36.</t>
  </si>
  <si>
    <t>Falmouth Trescobeas</t>
  </si>
  <si>
    <t>DEVON</t>
  </si>
  <si>
    <t>Plymouth *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</si>
  <si>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</si>
  <si>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</si>
  <si>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</si>
  <si>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</si>
  <si>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</si>
  <si>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</si>
  <si>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</si>
  <si>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</si>
  <si>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Bournemouth (pt)</t>
  </si>
  <si>
    <t>Poole (pt)</t>
  </si>
  <si>
    <t>Woodstock</t>
  </si>
  <si>
    <t>East Cliff and Springbourne</t>
  </si>
  <si>
    <t>East Southbourne and Tuckton</t>
  </si>
  <si>
    <t>Elmbridge</t>
  </si>
  <si>
    <t>* as created by The Dorset (Boroughs of Poole and Bournemouth) (Structural Change) Order 1995</t>
  </si>
  <si>
    <t>Boscombe East</t>
  </si>
  <si>
    <t>Boscombe West</t>
  </si>
  <si>
    <t>Branksome West</t>
  </si>
  <si>
    <t>Broadstone</t>
  </si>
  <si>
    <t>Canford Cliffs</t>
  </si>
  <si>
    <t>Canford Heath East</t>
  </si>
  <si>
    <t>Canford Heath West</t>
  </si>
  <si>
    <t>Creekmoor</t>
  </si>
  <si>
    <t>Hamworthy East</t>
  </si>
  <si>
    <t>Hamworthy West</t>
  </si>
  <si>
    <t>Oakdale</t>
  </si>
  <si>
    <t>Parkstone</t>
  </si>
  <si>
    <t>Penn Hill</t>
  </si>
  <si>
    <t>Poole Town</t>
  </si>
  <si>
    <t>* as created by The Borough of Christchurch (Electoral Changes) Order 2002</t>
  </si>
  <si>
    <t>EAST DORSET DISTRICT  *</t>
  </si>
  <si>
    <t>The Beacon</t>
  </si>
  <si>
    <t>Bridport North</t>
  </si>
  <si>
    <t>Broadwindsor</t>
  </si>
  <si>
    <t>Burton Bradstock</t>
  </si>
  <si>
    <t>BATH AND NORTH EAST SOMERSET DISTRICT  *</t>
  </si>
  <si>
    <t>Bath and North East Somerset (pt)</t>
  </si>
  <si>
    <t>North East Somerset CC</t>
  </si>
  <si>
    <t>Bathavon North</t>
  </si>
  <si>
    <t>Bathavon South</t>
  </si>
  <si>
    <t>Bathavon West</t>
  </si>
  <si>
    <t>Bathwick</t>
  </si>
  <si>
    <t>WEST DORSET DISTRICT  *</t>
  </si>
  <si>
    <t>Beaminster</t>
  </si>
  <si>
    <t>West Selkley</t>
  </si>
  <si>
    <t>Widcombe</t>
  </si>
  <si>
    <t>* as created by The District of Bath and North East Somerset (Electoral Changes) Order 1998</t>
  </si>
  <si>
    <t>Shepton West</t>
  </si>
  <si>
    <t>Street North</t>
  </si>
  <si>
    <t>Street South</t>
  </si>
  <si>
    <t>Street West</t>
  </si>
  <si>
    <t>The Pennards and Ditcheat</t>
  </si>
  <si>
    <t>Wells Central</t>
  </si>
  <si>
    <t>Wells St Cuthbert's</t>
  </si>
  <si>
    <t>Wells St Thomas'</t>
  </si>
  <si>
    <t>Wookey and St Cuthbert Out West</t>
  </si>
  <si>
    <t>Somerton and Frome CC (pt)</t>
  </si>
  <si>
    <t>Wells CC (pt)</t>
  </si>
  <si>
    <t>* as created by The District of Mendip (Electoral Changes) Order 2007</t>
  </si>
  <si>
    <t>SEDGEMOOR DISTRICT  *</t>
  </si>
  <si>
    <t>Berrow</t>
  </si>
  <si>
    <t>Almondsbury</t>
  </si>
  <si>
    <t>Bitton</t>
  </si>
  <si>
    <t>Boyd Valley</t>
  </si>
  <si>
    <t>Bradley Stoke Central and Stoke Lodge</t>
  </si>
  <si>
    <t>Bradley Stoke North</t>
  </si>
  <si>
    <t>Bradley Stoke South</t>
  </si>
  <si>
    <t>Clevedon East</t>
  </si>
  <si>
    <t>Clevedon South</t>
  </si>
  <si>
    <t>Clevedon Walton</t>
  </si>
  <si>
    <t>Clevedon West</t>
  </si>
  <si>
    <t>Clevedon Yeo</t>
  </si>
  <si>
    <t>Portishead West</t>
  </si>
  <si>
    <t>Winford</t>
  </si>
  <si>
    <t>Wrington</t>
  </si>
  <si>
    <t>Yatton</t>
  </si>
  <si>
    <t>St Leonards</t>
  </si>
  <si>
    <t>Old Town</t>
  </si>
  <si>
    <t>TEIGNBRIDGE DISTRICT</t>
  </si>
  <si>
    <t>TORRIDGE DISTRICT</t>
  </si>
  <si>
    <t>WEST DEVON BOROUGH</t>
  </si>
  <si>
    <t>EAST DEVON DISTRICT</t>
  </si>
  <si>
    <t>CITY OF EXETER</t>
  </si>
  <si>
    <t>MID DEVON DISTRICT</t>
  </si>
  <si>
    <t>NORTH DEVON DISTRICT</t>
  </si>
  <si>
    <t>SOUTH HAMS DISTRICT</t>
  </si>
  <si>
    <t>TORBAY BOROUGH  *</t>
  </si>
  <si>
    <t>St Marychurch</t>
  </si>
  <si>
    <t>St Mary's-with-Summercombe</t>
  </si>
  <si>
    <t>Shiphay-with-the-Willows</t>
  </si>
  <si>
    <t>Tormohun</t>
  </si>
  <si>
    <t>Kerswell-with-Combe</t>
  </si>
  <si>
    <t>Marwood</t>
  </si>
  <si>
    <t>Newport</t>
  </si>
  <si>
    <t>North Molton</t>
  </si>
  <si>
    <t>Pilton</t>
  </si>
  <si>
    <t>South Molton</t>
  </si>
  <si>
    <t>Witheridge</t>
  </si>
  <si>
    <t>Yeo Valley</t>
  </si>
  <si>
    <t>* as created by The District of North Devon (Electoral Changes) Order 1999 and</t>
  </si>
  <si>
    <t>SOUTH HAMS DISTRICT  *</t>
  </si>
  <si>
    <t>Two Rivers</t>
  </si>
  <si>
    <t>Waldon</t>
  </si>
  <si>
    <t>Westward Ho!</t>
  </si>
  <si>
    <t>Winkleigh</t>
  </si>
  <si>
    <t>* as created by The District of Torridge (Electoral Changes) Order 1999</t>
  </si>
  <si>
    <t>WEST DEVON BOROUGH  *</t>
  </si>
  <si>
    <t>Bere Ferrers</t>
  </si>
  <si>
    <t>Bridestowe</t>
  </si>
  <si>
    <t>Buckland Monachorum</t>
  </si>
  <si>
    <t>Burrator</t>
  </si>
  <si>
    <t>Chagford</t>
  </si>
  <si>
    <t>Drewsteignton</t>
  </si>
  <si>
    <t>Northam</t>
  </si>
  <si>
    <t>Orchard Hill</t>
  </si>
  <si>
    <t>Forest</t>
  </si>
  <si>
    <t>Hartland and Bradworthy</t>
  </si>
  <si>
    <t>FOREST OF DEAN DISTRICT</t>
  </si>
  <si>
    <t>Pennsylvania</t>
  </si>
  <si>
    <t>Pinhoe</t>
  </si>
  <si>
    <t>Polsloe</t>
  </si>
  <si>
    <t>Priory</t>
  </si>
  <si>
    <t>St David's</t>
  </si>
  <si>
    <t>St James</t>
  </si>
  <si>
    <t>St Loyes</t>
  </si>
  <si>
    <t>St Thomas</t>
  </si>
  <si>
    <t>Topsham</t>
  </si>
  <si>
    <t>Whipton &amp; Barton</t>
  </si>
  <si>
    <t>* as created by The City of Exeter (Electoral Changes) Order 1999</t>
  </si>
  <si>
    <t>MID DEVON DISTRICT  *</t>
  </si>
  <si>
    <t>Boniface</t>
  </si>
  <si>
    <t>Bradninch</t>
  </si>
  <si>
    <t>Cadbury</t>
  </si>
  <si>
    <t>Canonsleigh</t>
  </si>
  <si>
    <t>Clare and Shuttern</t>
  </si>
  <si>
    <t>Compton</t>
  </si>
  <si>
    <t>Lydney North</t>
  </si>
  <si>
    <t>Mitcheldean and Drybrook</t>
  </si>
  <si>
    <t>Newent Central</t>
  </si>
  <si>
    <t>Newland and St Briavels</t>
  </si>
  <si>
    <t>Newnham and Westbury</t>
  </si>
  <si>
    <t>Oxenhall and Newent North East</t>
  </si>
  <si>
    <t>Pillowell</t>
  </si>
  <si>
    <t>Redmarley</t>
  </si>
  <si>
    <t>Tibberton</t>
  </si>
  <si>
    <t>* as created by The District of Stroud (Parishes and Electoral Changes) Order 2001 and</t>
  </si>
  <si>
    <t>Berkeley</t>
  </si>
  <si>
    <t>Bisley</t>
  </si>
  <si>
    <t>Winchcombe</t>
  </si>
  <si>
    <t xml:space="preserve">   as altered by The Stroud (Parish Electoral Arrangements and Electoral Changes) Order 2008</t>
  </si>
  <si>
    <t>TEWKESBURY BOROUGH  *</t>
  </si>
  <si>
    <t>Ermin</t>
  </si>
  <si>
    <t>Barton and Tredworth</t>
  </si>
  <si>
    <t>Hucclecote</t>
  </si>
  <si>
    <t>Kingsholm and Wotton</t>
  </si>
  <si>
    <t>Longlevens</t>
  </si>
  <si>
    <t>Matson and Robinswood</t>
  </si>
  <si>
    <t>Moreland</t>
  </si>
  <si>
    <t>Podsmead</t>
  </si>
  <si>
    <t>Quedgeley Fieldcourt</t>
  </si>
  <si>
    <t>Quedgeley Severn Vale</t>
  </si>
  <si>
    <t>Tuffley</t>
  </si>
  <si>
    <t>Westgate</t>
  </si>
  <si>
    <t>St Ives East</t>
  </si>
  <si>
    <t>St Ives West</t>
  </si>
  <si>
    <t>Stratton</t>
  </si>
  <si>
    <t>MENDIP DISTRICT</t>
  </si>
  <si>
    <t>SEDGEMOOR DISTRICT</t>
  </si>
  <si>
    <t>Bristol South BC</t>
  </si>
  <si>
    <t>Bristol West BC</t>
  </si>
  <si>
    <t>Wedmore and Mark</t>
  </si>
  <si>
    <t>Bridgwater and West Somerset CC (pt)</t>
  </si>
  <si>
    <t>* as created by The District of Sedgemoor (Electoral Changes) Order 1998</t>
  </si>
  <si>
    <t>SOUTH SOMERSET DISTRICT  *</t>
  </si>
  <si>
    <t>Blackdown</t>
  </si>
  <si>
    <t>Blackmoor Vale</t>
  </si>
  <si>
    <t>Bruton</t>
  </si>
  <si>
    <t>Brympton</t>
  </si>
  <si>
    <t>Burrow Hill</t>
  </si>
  <si>
    <t>Camelot</t>
  </si>
  <si>
    <t>Cary</t>
  </si>
  <si>
    <t>Chard Avishayes</t>
  </si>
  <si>
    <t>Chard Combe</t>
  </si>
  <si>
    <t>Chard Crimchard</t>
  </si>
  <si>
    <t>Chard Holyrood</t>
  </si>
  <si>
    <t>Chard Jocelyn</t>
  </si>
  <si>
    <t>Coker</t>
  </si>
  <si>
    <t>Crewkerne</t>
  </si>
  <si>
    <t>Curry Rivel</t>
  </si>
  <si>
    <t>Eggwood</t>
  </si>
  <si>
    <t>Hamdon</t>
  </si>
  <si>
    <t>Ilminster</t>
  </si>
  <si>
    <t>Islemoor</t>
  </si>
  <si>
    <t>Ivelchester</t>
  </si>
  <si>
    <t>Langport and Huish</t>
  </si>
  <si>
    <t>Martock</t>
  </si>
  <si>
    <t>Milborne Port</t>
  </si>
  <si>
    <t>Neroche</t>
  </si>
  <si>
    <t>Northstone</t>
  </si>
  <si>
    <t>Parrett</t>
  </si>
  <si>
    <t>South Petherton</t>
  </si>
  <si>
    <t>Tatworth and Forton</t>
  </si>
  <si>
    <t>Turn Hill</t>
  </si>
  <si>
    <t>Wessex</t>
  </si>
  <si>
    <t>Wincanton</t>
  </si>
  <si>
    <t>Windwhistle</t>
  </si>
  <si>
    <t>Yeovil Central</t>
  </si>
  <si>
    <t>Bryher</t>
  </si>
  <si>
    <t>St.Agnes</t>
  </si>
  <si>
    <t>St.Martin's</t>
  </si>
  <si>
    <t>St.Mary's</t>
  </si>
  <si>
    <t>Tresco</t>
  </si>
  <si>
    <t>St Ives CC (pt)</t>
  </si>
  <si>
    <t>Cornwall (pt)</t>
  </si>
  <si>
    <t>CORNWALL  *</t>
  </si>
  <si>
    <t>Taunton Fairwater</t>
  </si>
  <si>
    <t>Taunton Halcon</t>
  </si>
  <si>
    <t>Taunton Killams and Mountfield</t>
  </si>
  <si>
    <t>Taunton Lyngford</t>
  </si>
  <si>
    <t>Taunton Manor and Wilton</t>
  </si>
  <si>
    <t>All Saints</t>
  </si>
  <si>
    <t>WILTSHIRE  *</t>
  </si>
  <si>
    <t>Chippenham CC</t>
  </si>
  <si>
    <t>Wiltshire (pt)</t>
  </si>
  <si>
    <t>Devizes CC</t>
  </si>
  <si>
    <t>North Wiltshire CC</t>
  </si>
  <si>
    <t>Salisbury CC</t>
  </si>
  <si>
    <t>Ludgershall and Perham Down</t>
  </si>
  <si>
    <t>Lyneham</t>
  </si>
  <si>
    <t>Malmesbury</t>
  </si>
  <si>
    <t>Marlborough East</t>
  </si>
  <si>
    <t>Marlborough West</t>
  </si>
  <si>
    <t>Melksham Central</t>
  </si>
  <si>
    <t>Melksham North</t>
  </si>
  <si>
    <t>Torbay *</t>
  </si>
  <si>
    <t>DEVON, PLYMOUTH &amp; TORBAY</t>
  </si>
  <si>
    <t>Christchurch</t>
  </si>
  <si>
    <t>Isles of Scilly</t>
  </si>
  <si>
    <t>* Unitary Authority (County)</t>
  </si>
  <si>
    <t># Non-Metropolitan County Council abolished</t>
  </si>
  <si>
    <t>Gloucester</t>
  </si>
  <si>
    <t>Stroud</t>
  </si>
  <si>
    <t>Tewkesbury</t>
  </si>
  <si>
    <t>GLOUCESTERSHIRE</t>
  </si>
  <si>
    <t>Preston</t>
  </si>
  <si>
    <t>South Dorset CC</t>
  </si>
  <si>
    <t>West Dorset (pt)</t>
  </si>
  <si>
    <t>West Dorset CC</t>
  </si>
  <si>
    <t>Kinson North</t>
  </si>
  <si>
    <t>Kinson South</t>
  </si>
  <si>
    <t>Littledown and Iford</t>
  </si>
  <si>
    <t>Moordown</t>
  </si>
  <si>
    <t>Redhill and Northbourne</t>
  </si>
  <si>
    <t>Strouden Park</t>
  </si>
  <si>
    <t>Talbot and Branksome Woods</t>
  </si>
  <si>
    <t>West Southbourne</t>
  </si>
  <si>
    <t>Westbourne and West Cliff</t>
  </si>
  <si>
    <t>Winton East</t>
  </si>
  <si>
    <t>* as created by The Borough of Bournemouth (Electoral Changes) Order 2002</t>
  </si>
  <si>
    <t>Alderney</t>
  </si>
  <si>
    <t>Branksome East</t>
  </si>
  <si>
    <t>Ferndown Central</t>
  </si>
  <si>
    <t>Handley Vale</t>
  </si>
  <si>
    <t>Parley</t>
  </si>
  <si>
    <t>Stour</t>
  </si>
  <si>
    <t>Purewell and Stanpit</t>
  </si>
  <si>
    <t>St Catherine's and Hurn</t>
  </si>
  <si>
    <t>West Highcliffe</t>
  </si>
  <si>
    <t>Chew Valley North</t>
  </si>
  <si>
    <t>Chew Valley South</t>
  </si>
  <si>
    <t>Clutton</t>
  </si>
  <si>
    <t>Combe Down</t>
  </si>
  <si>
    <t>Farmborough</t>
  </si>
  <si>
    <t>High Littleton</t>
  </si>
  <si>
    <t>SOUTH GLOUCESTERSHIRE DISTRICT  *</t>
  </si>
  <si>
    <t>Filton and Bradley Stoke CC</t>
  </si>
  <si>
    <t>North Somerset (pt)</t>
  </si>
  <si>
    <t>Backwell</t>
  </si>
  <si>
    <t>Pill</t>
  </si>
  <si>
    <t>Portishead East</t>
  </si>
  <si>
    <t>Moor</t>
  </si>
  <si>
    <t>St Leonard's</t>
  </si>
  <si>
    <t>* as created by The Devon (City of Plymouth and Borough of Torbay) (Structural Change) Order 1996</t>
  </si>
  <si>
    <t>Budshead</t>
  </si>
  <si>
    <t>Devonport</t>
  </si>
  <si>
    <t>Drake</t>
  </si>
  <si>
    <t>Efford and Lipson</t>
  </si>
  <si>
    <t>Eggbuckland</t>
  </si>
  <si>
    <t>Ham</t>
  </si>
  <si>
    <t>Honicknowle</t>
  </si>
  <si>
    <t>Moor View</t>
  </si>
  <si>
    <t>Ellacombe</t>
  </si>
  <si>
    <t>Goodrington-with-Roselands</t>
  </si>
  <si>
    <t>Roundham-with-Hyde</t>
  </si>
  <si>
    <t>Sidmouth Rural</t>
  </si>
  <si>
    <t>Sidmouth Sidford</t>
  </si>
  <si>
    <t>Sidmouth Town</t>
  </si>
  <si>
    <t>Tale Vale</t>
  </si>
  <si>
    <t>Trinity</t>
  </si>
  <si>
    <t>Whimple</t>
  </si>
  <si>
    <t>Woodbury and Lympstone</t>
  </si>
  <si>
    <t>Yarty</t>
  </si>
  <si>
    <t>Central Devon CC (pt)</t>
  </si>
  <si>
    <t>East Devon CC (pt)</t>
  </si>
  <si>
    <t>Tiverton and Honiton CC (pt)</t>
  </si>
  <si>
    <t>CITY OF EXETER  *</t>
  </si>
  <si>
    <t>Alphington</t>
  </si>
  <si>
    <t>Cowick</t>
  </si>
  <si>
    <t>Duryard</t>
  </si>
  <si>
    <t>Exwick</t>
  </si>
  <si>
    <t>Heavitree</t>
  </si>
  <si>
    <t>Mincinglake</t>
  </si>
  <si>
    <t>Shaw</t>
  </si>
  <si>
    <t>North Somerset *</t>
  </si>
  <si>
    <t>Moorland</t>
  </si>
  <si>
    <t>Shaldon and Stokeinteignhead</t>
  </si>
  <si>
    <t>Teignbridge North</t>
  </si>
  <si>
    <t>Teignmouth Central</t>
  </si>
  <si>
    <t>Teignmouth East</t>
  </si>
  <si>
    <t>Teignmouth West</t>
  </si>
  <si>
    <t>Shebbear and Langtree</t>
  </si>
  <si>
    <t>Tamarside</t>
  </si>
  <si>
    <t>Holsworthy</t>
  </si>
  <si>
    <t>Kenwith</t>
  </si>
  <si>
    <t>Monkleigh and Littleham</t>
  </si>
  <si>
    <t>CITY OF GLOUCESTER</t>
  </si>
  <si>
    <t>STROUD DISTRICT</t>
  </si>
  <si>
    <t>TEWKESBURY BOROUGH</t>
  </si>
  <si>
    <t>Cheltenham BC</t>
  </si>
  <si>
    <t>Cheltenham (pt)</t>
  </si>
  <si>
    <t>Tewkesbury (pt)</t>
  </si>
  <si>
    <t>Gloucester BC</t>
  </si>
  <si>
    <t>Gloucester (pt)</t>
  </si>
  <si>
    <t>Stroud CC</t>
  </si>
  <si>
    <t>Stroud (pt)</t>
  </si>
  <si>
    <t>Tewkesbury CC</t>
  </si>
  <si>
    <t>The Cotswolds CC</t>
  </si>
  <si>
    <t>CHELTENHAM BOROUGH  *</t>
  </si>
  <si>
    <t>Warden Hill</t>
  </si>
  <si>
    <t>Tewkesbury CC (pt)</t>
  </si>
  <si>
    <t>24.</t>
  </si>
  <si>
    <t>25.</t>
  </si>
  <si>
    <t>26.</t>
  </si>
  <si>
    <t>FOREST OF DEAN DISTRICT  *</t>
  </si>
  <si>
    <t>Cinderford West</t>
  </si>
  <si>
    <t>Coleford Central</t>
  </si>
  <si>
    <t>Coleford East</t>
  </si>
  <si>
    <t>Hartpury</t>
  </si>
  <si>
    <t>Hewelsfield and Woolaston</t>
  </si>
  <si>
    <t>Littledean and Ruspidge</t>
  </si>
  <si>
    <t>Lydbrook and Ruardean</t>
  </si>
  <si>
    <t>Lydney East</t>
  </si>
  <si>
    <t>27.</t>
  </si>
  <si>
    <t>28.</t>
  </si>
  <si>
    <t>29.</t>
  </si>
  <si>
    <t>30.</t>
  </si>
  <si>
    <t>* as created by The City of Gloucester (Electoral Changes) Order 2001</t>
  </si>
  <si>
    <t>STROUD DISTRICT  *</t>
  </si>
  <si>
    <t>Amberley and Woodchester</t>
  </si>
  <si>
    <t>St Andrews</t>
  </si>
  <si>
    <t>Bristol North West BC</t>
  </si>
  <si>
    <t>CITY OF BRISTOL  *</t>
  </si>
  <si>
    <t>Bristol East BC</t>
  </si>
  <si>
    <t>Bristol (pt)</t>
  </si>
  <si>
    <t>* as created by The Cornwall (Structural Change) Order 2007</t>
  </si>
  <si>
    <t>Seaton</t>
  </si>
  <si>
    <t>* as created by The County of Wiltshire (Electoral Changes) Order 2009</t>
  </si>
  <si>
    <t>Wiltshire *</t>
  </si>
  <si>
    <t>Aldbourne and Ramsbury</t>
  </si>
  <si>
    <t>Alderbury and Whiteparish</t>
  </si>
  <si>
    <t>Amesbury East</t>
  </si>
  <si>
    <t>Amesbury West</t>
  </si>
  <si>
    <t>Bourne and Woodford Valley</t>
  </si>
  <si>
    <t>Box and Colerne</t>
  </si>
  <si>
    <t>Bradford-on-Avon North</t>
  </si>
  <si>
    <t>Bradford-on-Avon South</t>
  </si>
  <si>
    <t>Brinkworth</t>
  </si>
  <si>
    <t>Bromham, Rowde and Potterne</t>
  </si>
  <si>
    <t>Bulford, Allington and Figheldean</t>
  </si>
  <si>
    <t>Burbage and the Bedwyns</t>
  </si>
  <si>
    <t>By Brook</t>
  </si>
  <si>
    <t>Calne Central</t>
  </si>
  <si>
    <t>Calne Chilvester and Abberd</t>
  </si>
  <si>
    <t>Calne North</t>
  </si>
  <si>
    <t>Calne Rural</t>
  </si>
  <si>
    <t>Calne South and Cherhill</t>
  </si>
  <si>
    <t>Chippenham Cepen Park and Derriads</t>
  </si>
  <si>
    <t>Chippenham Cepen Park and Redlands</t>
  </si>
  <si>
    <t>Chippenham Hardens and England</t>
  </si>
  <si>
    <t>Chippenham Lowden and Rowden</t>
  </si>
  <si>
    <t>Chippenham Monkton</t>
  </si>
  <si>
    <t>Chippenham Pewsham</t>
  </si>
  <si>
    <t>Chippenham Queens and Sheldon</t>
  </si>
  <si>
    <t>Corsham Town</t>
  </si>
  <si>
    <t>Corsham Without and Box Hill</t>
  </si>
  <si>
    <t>Cricklade and Latton</t>
  </si>
  <si>
    <t>Devizes and Roundway South</t>
  </si>
  <si>
    <t>Devizes East</t>
  </si>
  <si>
    <t>Devizes North</t>
  </si>
  <si>
    <t>Downton and Ebble Valley</t>
  </si>
  <si>
    <t>Durrington and Larkhill</t>
  </si>
  <si>
    <t>Fovant and Chalke Valley</t>
  </si>
  <si>
    <t>Hilperton</t>
  </si>
  <si>
    <t>Holt and Staverton</t>
  </si>
  <si>
    <t>Kington</t>
  </si>
  <si>
    <t>Laverstock, Ford and Old Sarum</t>
  </si>
  <si>
    <t>Parliamentary Electorate</t>
  </si>
  <si>
    <t>Theoretical Entitlement</t>
  </si>
  <si>
    <t>CORNWALL &amp; ISLES OF SCILLY</t>
  </si>
  <si>
    <t>DORSET  *</t>
  </si>
  <si>
    <t>BOURNEMOUTH BOROUGH  *</t>
  </si>
  <si>
    <t>POOLE BOROUGH  *</t>
  </si>
  <si>
    <t>CHRISTCHURCH BOROUGH</t>
  </si>
  <si>
    <t>EAST DORSET DISTRICT</t>
  </si>
  <si>
    <t>NORTH DORSET DISTRICT</t>
  </si>
  <si>
    <t>PURBECK DISTRICT</t>
  </si>
  <si>
    <t>WEST DORSET DISTRICT</t>
  </si>
  <si>
    <t>WEYMOUTH AND PORTLAND BOROUGH</t>
  </si>
  <si>
    <t>Mendip</t>
  </si>
  <si>
    <t>Sedgemoor</t>
  </si>
  <si>
    <t>South Somerset</t>
  </si>
  <si>
    <t>Taunton Deane</t>
  </si>
  <si>
    <t>West Somerset</t>
  </si>
  <si>
    <t>SOMERSET</t>
  </si>
  <si>
    <t>South Gloucestershire *</t>
  </si>
  <si>
    <t>Christchurch (pt)</t>
  </si>
  <si>
    <t>East Dorset (pt)</t>
  </si>
  <si>
    <t>Purbeck (pt)</t>
  </si>
  <si>
    <t>Poole BC</t>
  </si>
  <si>
    <t>Swindon *</t>
  </si>
  <si>
    <t>SOUTH WEST REGION</t>
  </si>
  <si>
    <t>1.</t>
  </si>
  <si>
    <t>2.</t>
  </si>
  <si>
    <t>3.</t>
  </si>
  <si>
    <t>4.</t>
  </si>
  <si>
    <t>5.</t>
  </si>
  <si>
    <t>Bulbarrow</t>
  </si>
  <si>
    <t>Gillingham Town</t>
  </si>
  <si>
    <t>Hill Forts</t>
  </si>
  <si>
    <t>Lydden Vale</t>
  </si>
  <si>
    <t>Blackmore</t>
  </si>
  <si>
    <t>Blandford Hilltop</t>
  </si>
  <si>
    <t>Blandford Langton St Leonards</t>
  </si>
  <si>
    <t>Blandford Old Town</t>
  </si>
  <si>
    <t>NORTH DORSET DISTRICT  *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</si>
  <si>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</si>
  <si>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</si>
  <si>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</si>
  <si>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</si>
  <si>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</si>
  <si>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</si>
  <si>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</si>
  <si>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</si>
  <si>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</si>
  <si>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</si>
  <si>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</si>
  <si>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</si>
  <si>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</si>
  <si>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Underhill</t>
  </si>
  <si>
    <t>19.</t>
  </si>
  <si>
    <t>20.</t>
  </si>
  <si>
    <t>Stokeclimsland</t>
  </si>
  <si>
    <t>Threemilestone and Gloweth</t>
  </si>
  <si>
    <t>Tintagel</t>
  </si>
  <si>
    <t>Torpoint East</t>
  </si>
  <si>
    <t>Torpoint West</t>
  </si>
  <si>
    <t>Wadebridge East</t>
  </si>
  <si>
    <t>Wadebridge West</t>
  </si>
  <si>
    <t>Lelant and Carbis Bay</t>
  </si>
  <si>
    <t>Ashley</t>
  </si>
  <si>
    <t>Avonmouth</t>
  </si>
  <si>
    <t>NORTH SOMERSET DISTRICT  *</t>
  </si>
  <si>
    <t>North Somerset CC</t>
  </si>
  <si>
    <t>Sutton and Mount Gould</t>
  </si>
  <si>
    <t>* as created by The City of Plymouth (Electoral Changes) Order 2002</t>
  </si>
  <si>
    <t>Berry Head-with-Furzeham</t>
  </si>
  <si>
    <t>Blatchcombe</t>
  </si>
  <si>
    <t>Churston-with-Galmpton</t>
  </si>
  <si>
    <t>Clifton-with-Maidenway</t>
  </si>
  <si>
    <t>Cockington-with-Chelston</t>
  </si>
  <si>
    <t>EQ - 5%</t>
  </si>
  <si>
    <t>South Brent</t>
  </si>
  <si>
    <t>Stokenham</t>
  </si>
  <si>
    <t>West Dart</t>
  </si>
  <si>
    <t>TEIGNBRIDGE DISTRICT  *</t>
  </si>
  <si>
    <t>Ambrook</t>
  </si>
  <si>
    <t>Ashburton and Buckfastleigh</t>
  </si>
  <si>
    <t>Bishopsteignton</t>
  </si>
  <si>
    <t>Bovey</t>
  </si>
  <si>
    <t>Bradley</t>
  </si>
  <si>
    <t>Three Moors</t>
  </si>
  <si>
    <t>Torrington</t>
  </si>
  <si>
    <t>South Tawton</t>
  </si>
  <si>
    <t>Tavistock North</t>
  </si>
  <si>
    <t>Tavistock South West</t>
  </si>
  <si>
    <t>Oakley</t>
  </si>
  <si>
    <t>Queen's Park</t>
  </si>
  <si>
    <t>21.</t>
  </si>
  <si>
    <t>22.</t>
  </si>
  <si>
    <t>23.</t>
  </si>
  <si>
    <t>CHELTENHAM BOROUGH</t>
  </si>
  <si>
    <t>COTSWOLD DISTRICT</t>
  </si>
  <si>
    <t>Castle</t>
  </si>
  <si>
    <t>* as created by The Borough of Cheltenham (Electoral Changes) Order 2001</t>
  </si>
  <si>
    <t>COTSWOLD DISTRICT  *</t>
  </si>
  <si>
    <t>Blockley</t>
  </si>
  <si>
    <t>Battledown</t>
  </si>
  <si>
    <t>Central</t>
  </si>
  <si>
    <t>Alvington, Aylburton and West Lydney</t>
  </si>
  <si>
    <t>Awre</t>
  </si>
  <si>
    <t>Berry Hill</t>
  </si>
  <si>
    <t>Blaisdon and Longhope</t>
  </si>
  <si>
    <t>Bream</t>
  </si>
  <si>
    <t>Bromesberrow and Dymock</t>
  </si>
  <si>
    <t>Christchurch and English Bicknor</t>
  </si>
  <si>
    <t>Churcham and Huntley</t>
  </si>
  <si>
    <t>Cinderford East</t>
  </si>
  <si>
    <t>Up Hatherley</t>
  </si>
  <si>
    <t>Northway</t>
  </si>
  <si>
    <t>Oxenton Hill</t>
  </si>
  <si>
    <t>Shurdington</t>
  </si>
  <si>
    <t>Tewkesbury Newtown</t>
  </si>
  <si>
    <t>Tewkesbury Prior's Park</t>
  </si>
  <si>
    <t>Tewkesbury Town with Mitton</t>
  </si>
  <si>
    <t>Twyning</t>
  </si>
  <si>
    <t>Hardwicke</t>
  </si>
  <si>
    <t>Kingswood</t>
  </si>
  <si>
    <t>Minchinhampton</t>
  </si>
  <si>
    <t>Nailsworth</t>
  </si>
  <si>
    <t>Painswick</t>
  </si>
  <si>
    <t>Rodborough</t>
  </si>
  <si>
    <t>Severn</t>
  </si>
  <si>
    <t>Slade</t>
  </si>
  <si>
    <t>Stonehouse</t>
  </si>
  <si>
    <t>The Stanleys</t>
  </si>
  <si>
    <t>Thrupp</t>
  </si>
  <si>
    <t>Uplands</t>
  </si>
  <si>
    <t>Upton St Leonards</t>
  </si>
  <si>
    <t>Valley</t>
  </si>
  <si>
    <t>Wotton-under-Edge</t>
  </si>
  <si>
    <t>Ashchurch with Walton Cardiff</t>
  </si>
  <si>
    <t>Badgeworth</t>
  </si>
  <si>
    <t>Brockworth</t>
  </si>
  <si>
    <t>Churchdown Brookfield</t>
  </si>
  <si>
    <t>Churchdown St John's</t>
  </si>
  <si>
    <t>Cleeve Grange</t>
  </si>
  <si>
    <t>Cleeve Hill</t>
  </si>
  <si>
    <t>St Enoder</t>
  </si>
  <si>
    <t>St Keverne and Meneage</t>
  </si>
  <si>
    <t>St Mewan</t>
  </si>
  <si>
    <t>31.</t>
  </si>
  <si>
    <t>32.</t>
  </si>
  <si>
    <t>33.</t>
  </si>
  <si>
    <t>34.</t>
  </si>
  <si>
    <t>Hayle North</t>
  </si>
  <si>
    <t>Hayle South</t>
  </si>
  <si>
    <t>Helston North</t>
  </si>
  <si>
    <t>Illogan</t>
  </si>
  <si>
    <t>Ladock, St Clement and St Erme</t>
  </si>
  <si>
    <t>Launceston Central</t>
  </si>
  <si>
    <t>Launceston South</t>
  </si>
  <si>
    <t>Liskeard North</t>
  </si>
  <si>
    <t>Bedminster</t>
  </si>
  <si>
    <t>Bishopston</t>
  </si>
  <si>
    <t>Bishopsworth</t>
  </si>
  <si>
    <t>Brislington East</t>
  </si>
  <si>
    <t>Brislington West</t>
  </si>
  <si>
    <t>Cabot</t>
  </si>
  <si>
    <t>Clifton</t>
  </si>
  <si>
    <t>Clifton East</t>
  </si>
  <si>
    <t>Cotham</t>
  </si>
  <si>
    <t>Easton</t>
  </si>
  <si>
    <t>Eastville</t>
  </si>
  <si>
    <t>Filwood</t>
  </si>
  <si>
    <t>Frome Vale</t>
  </si>
  <si>
    <t>Hartcliffe</t>
  </si>
  <si>
    <t>Henbury</t>
  </si>
  <si>
    <t>Hengrove</t>
  </si>
  <si>
    <t>Henleaze</t>
  </si>
  <si>
    <t>Hillfields</t>
  </si>
  <si>
    <t>Horfield</t>
  </si>
  <si>
    <t>Kingsweston</t>
  </si>
  <si>
    <t>Knowle</t>
  </si>
  <si>
    <t>Lawrence Hill</t>
  </si>
  <si>
    <t>Lockleaze</t>
  </si>
  <si>
    <t>Redland</t>
  </si>
  <si>
    <t>St George East</t>
  </si>
  <si>
    <t>St George West</t>
  </si>
  <si>
    <t>Southmead</t>
  </si>
  <si>
    <t>Southville</t>
  </si>
  <si>
    <t>Stockwood</t>
  </si>
  <si>
    <t>Stoke Bishop</t>
  </si>
  <si>
    <t>Westbury-on-Trym</t>
  </si>
  <si>
    <t>Whitchurch Park</t>
  </si>
  <si>
    <t>Windmill Hill</t>
  </si>
  <si>
    <t>* as created by The City of Bristol (Electoral Changes) Order 1998</t>
  </si>
  <si>
    <t>Tidworth</t>
  </si>
  <si>
    <t>Till and Wylye Valley</t>
  </si>
  <si>
    <t>Tisbury</t>
  </si>
  <si>
    <t>Trowbridge Adcroft</t>
  </si>
  <si>
    <t>Trowbridge Central</t>
  </si>
  <si>
    <t>Trowbridge Drynham</t>
  </si>
  <si>
    <t>Trowbridge Grove</t>
  </si>
  <si>
    <t>Trowbridge Park</t>
  </si>
  <si>
    <t>Trowbridge Paxcroft</t>
  </si>
  <si>
    <t>Urchfont and The Cannings</t>
  </si>
  <si>
    <t>Warminster Broadway</t>
  </si>
  <si>
    <t>Warminster Copheap and Wylye</t>
  </si>
  <si>
    <t>Warminster East</t>
  </si>
  <si>
    <t>Warminster West</t>
  </si>
  <si>
    <t>Warminster Without</t>
  </si>
  <si>
    <t>Westbury North</t>
  </si>
  <si>
    <t>Westbury East</t>
  </si>
  <si>
    <t>Westbury West</t>
  </si>
  <si>
    <t>Wilton and Lower Wylye Valley</t>
  </si>
  <si>
    <t>Winsley and Westwood</t>
  </si>
  <si>
    <t>Winterslow</t>
  </si>
  <si>
    <t>Abbey</t>
  </si>
  <si>
    <t>Longbridge</t>
  </si>
  <si>
    <t>Exbourne</t>
  </si>
  <si>
    <t>Hatherleigh</t>
  </si>
  <si>
    <t>Mary Tavy</t>
  </si>
  <si>
    <t>Milton Ford</t>
  </si>
  <si>
    <t>Newtown</t>
  </si>
  <si>
    <t>Ridgeway</t>
  </si>
  <si>
    <t>Vale</t>
  </si>
  <si>
    <t>Bath and North East Somerset *</t>
  </si>
  <si>
    <t>Broadheath</t>
  </si>
  <si>
    <t>Grange</t>
  </si>
  <si>
    <t>Cornwall *</t>
  </si>
  <si>
    <t>Cleeve St Michael's</t>
  </si>
  <si>
    <t>Cleeve West</t>
  </si>
  <si>
    <t>Coombe Hill</t>
  </si>
  <si>
    <t>Highnam with Haw Bridge</t>
  </si>
  <si>
    <t>Innsworth with Down Hatherley</t>
  </si>
  <si>
    <t>Isbourne</t>
  </si>
  <si>
    <t>Benhall and The Reddings</t>
  </si>
  <si>
    <t>Charlton Kings</t>
  </si>
  <si>
    <t>Charlton Park</t>
  </si>
  <si>
    <t>Hesters Way</t>
  </si>
  <si>
    <t>Leckhampton</t>
  </si>
  <si>
    <t>Pittville</t>
  </si>
  <si>
    <t>Prestbury</t>
  </si>
  <si>
    <t>St Mark's</t>
  </si>
  <si>
    <t>St Paul's</t>
  </si>
  <si>
    <t>St Peter's</t>
  </si>
  <si>
    <t>Springbank</t>
  </si>
  <si>
    <t>Swindon Village</t>
  </si>
  <si>
    <t>East Dorset</t>
  </si>
  <si>
    <t>North Dorset</t>
  </si>
  <si>
    <t>Purbeck</t>
  </si>
  <si>
    <t>West Dorset</t>
  </si>
  <si>
    <t>Weymouth and Portland</t>
  </si>
  <si>
    <t>DORSET</t>
  </si>
  <si>
    <t>Bournemouth *</t>
  </si>
  <si>
    <t>Poole *</t>
  </si>
  <si>
    <t>DORSET, BOURNEMOUTH &amp; POOLE</t>
  </si>
  <si>
    <t>Cheltenham</t>
  </si>
  <si>
    <t>Cotswold</t>
  </si>
  <si>
    <t>Forest of Dean</t>
  </si>
  <si>
    <t>Total</t>
  </si>
  <si>
    <t>Disparity</t>
  </si>
  <si>
    <t>Highest</t>
  </si>
  <si>
    <t>Lowest</t>
  </si>
  <si>
    <t>Standard Deviation</t>
  </si>
  <si>
    <t>Electoral Quota</t>
  </si>
  <si>
    <t>Wimborne Minster</t>
  </si>
  <si>
    <t>North Dorset CC (pt)</t>
  </si>
  <si>
    <t>Lostwithiel</t>
  </si>
  <si>
    <t>Ludgvan</t>
  </si>
  <si>
    <t>Menheniot</t>
  </si>
  <si>
    <t>Mevagissey</t>
  </si>
  <si>
    <t>Mount Charles</t>
  </si>
  <si>
    <t>Mount Hawke and Portreath</t>
  </si>
  <si>
    <t>Newlyn and Goonhavern</t>
  </si>
  <si>
    <t>Newlyn and Mousehole</t>
  </si>
  <si>
    <t>Newquay Central</t>
  </si>
  <si>
    <t>Newquay Pentire</t>
  </si>
  <si>
    <t>Newquay Treloggan</t>
  </si>
  <si>
    <t>Newquay Tretherras</t>
  </si>
  <si>
    <t>Newquay Treviglas</t>
  </si>
  <si>
    <t>Padstow</t>
  </si>
  <si>
    <t>Penryn East and Mylor</t>
  </si>
  <si>
    <t>Penryn West</t>
  </si>
  <si>
    <t>Penzance Central</t>
  </si>
  <si>
    <t>Penzance East</t>
  </si>
  <si>
    <t>Penzance Promenade</t>
  </si>
  <si>
    <t>Perranporth</t>
  </si>
  <si>
    <t>Poundstock</t>
  </si>
  <si>
    <t>Redruth Central</t>
  </si>
  <si>
    <t>Throop and Muscliff</t>
  </si>
  <si>
    <t>Wallisdown and Winton West</t>
  </si>
  <si>
    <t>Looe East</t>
  </si>
  <si>
    <t>St Michael's</t>
  </si>
  <si>
    <t>COUNTY ELECTORATE TABLE</t>
  </si>
  <si>
    <t>Redruth North</t>
  </si>
  <si>
    <t>Redruth South</t>
  </si>
  <si>
    <t>Roche</t>
  </si>
  <si>
    <t>Roseland</t>
  </si>
  <si>
    <t>St Agnes</t>
  </si>
  <si>
    <t>St Austell Bay</t>
  </si>
  <si>
    <t>St Austell Bethel</t>
  </si>
  <si>
    <t>St Austell Gover</t>
  </si>
  <si>
    <t>St Austell Poltair</t>
  </si>
  <si>
    <t>St Cleer</t>
  </si>
  <si>
    <t>St Buryan</t>
  </si>
  <si>
    <t>E05001935</t>
  </si>
  <si>
    <t>E05001936</t>
  </si>
  <si>
    <t>E05001937</t>
  </si>
  <si>
    <t>E05001938</t>
  </si>
  <si>
    <t>E05001939</t>
  </si>
  <si>
    <t>E05001940</t>
  </si>
  <si>
    <t>E05001941</t>
  </si>
  <si>
    <t>E05001942</t>
  </si>
  <si>
    <t>E05001943</t>
  </si>
  <si>
    <t>E05001944</t>
  </si>
  <si>
    <t>E05001945</t>
  </si>
  <si>
    <t>E05001946</t>
  </si>
  <si>
    <t>E05001947</t>
  </si>
  <si>
    <t>E05001948</t>
  </si>
  <si>
    <t>E05001949</t>
  </si>
  <si>
    <t>E05001950</t>
  </si>
  <si>
    <t>E05001951</t>
  </si>
  <si>
    <t>E05001952</t>
  </si>
  <si>
    <t>E05001953</t>
  </si>
  <si>
    <t>E05001954</t>
  </si>
  <si>
    <t>E05001955</t>
  </si>
  <si>
    <t>E05001956</t>
  </si>
  <si>
    <t>E05001957</t>
  </si>
  <si>
    <t>E05001958</t>
  </si>
  <si>
    <t>E05001959</t>
  </si>
  <si>
    <t>E05001960</t>
  </si>
  <si>
    <t>E05001961</t>
  </si>
  <si>
    <t>E05001962</t>
  </si>
  <si>
    <t>E05001963</t>
  </si>
  <si>
    <t>E05001964</t>
  </si>
  <si>
    <t>E05001965</t>
  </si>
  <si>
    <t>E05001966</t>
  </si>
  <si>
    <t>E05001967</t>
  </si>
  <si>
    <t>E05001968</t>
  </si>
  <si>
    <t>E05001969</t>
  </si>
  <si>
    <t>E05001970</t>
  </si>
  <si>
    <t>E05001971</t>
  </si>
  <si>
    <t>E05001972</t>
  </si>
  <si>
    <t>E05001973</t>
  </si>
  <si>
    <t>E05001974</t>
  </si>
  <si>
    <t>E05001975</t>
  </si>
  <si>
    <t>E05001976</t>
  </si>
  <si>
    <t>E05001977</t>
  </si>
  <si>
    <t>E05001978</t>
  </si>
  <si>
    <t>E05001979</t>
  </si>
  <si>
    <t>E05001980</t>
  </si>
  <si>
    <t>E05001981</t>
  </si>
  <si>
    <t>E05001982</t>
  </si>
  <si>
    <t>E05001983</t>
  </si>
  <si>
    <t>E05001984</t>
  </si>
  <si>
    <t>E05001985</t>
  </si>
  <si>
    <t>E05001986</t>
  </si>
  <si>
    <t>E05001987</t>
  </si>
  <si>
    <t>E05001988</t>
  </si>
  <si>
    <t>E05001989</t>
  </si>
  <si>
    <t>E05001990</t>
  </si>
  <si>
    <t>E05001991</t>
  </si>
  <si>
    <t>E05001992</t>
  </si>
  <si>
    <t>E05001993</t>
  </si>
  <si>
    <t>E05001994</t>
  </si>
  <si>
    <t>E05001995</t>
  </si>
  <si>
    <t>E05001996</t>
  </si>
  <si>
    <t>E05001997</t>
  </si>
  <si>
    <t>E05001998</t>
  </si>
  <si>
    <t>E05001999</t>
  </si>
  <si>
    <t>E05002000</t>
  </si>
  <si>
    <t>E05002001</t>
  </si>
  <si>
    <t>E05002002</t>
  </si>
  <si>
    <t>E05002003</t>
  </si>
  <si>
    <t>E05002004</t>
  </si>
  <si>
    <t>E05002005</t>
  </si>
  <si>
    <t>E05002006</t>
  </si>
  <si>
    <t>Weston-super-Mare Central</t>
  </si>
  <si>
    <t>Weston-super-Mare North Worle</t>
  </si>
  <si>
    <t>Weston-super-Mare South Worle</t>
  </si>
  <si>
    <t>E05002043</t>
  </si>
  <si>
    <t>E05002044</t>
  </si>
  <si>
    <t>E05002045</t>
  </si>
  <si>
    <t>E05002046</t>
  </si>
  <si>
    <t>E05002047</t>
  </si>
  <si>
    <t>E05002048</t>
  </si>
  <si>
    <t>E05002049</t>
  </si>
  <si>
    <t>E05002050</t>
  </si>
  <si>
    <t>E05002051</t>
  </si>
  <si>
    <t>E05002052</t>
  </si>
  <si>
    <t>E05002053</t>
  </si>
  <si>
    <t>E05002054</t>
  </si>
  <si>
    <t>E05002055</t>
  </si>
  <si>
    <t>E05002056</t>
  </si>
  <si>
    <t>E05002057</t>
  </si>
  <si>
    <t>E05002058</t>
  </si>
  <si>
    <t>E05002059</t>
  </si>
  <si>
    <t>E05002060</t>
  </si>
  <si>
    <t>E05002061</t>
  </si>
  <si>
    <t>E05002062</t>
  </si>
  <si>
    <t>E05002063</t>
  </si>
  <si>
    <t>E05002064</t>
  </si>
  <si>
    <t>E05002065</t>
  </si>
  <si>
    <t>E05002066</t>
  </si>
  <si>
    <t>E05002067</t>
  </si>
  <si>
    <t>E05002068</t>
  </si>
  <si>
    <t>E05002069</t>
  </si>
  <si>
    <t>E05002070</t>
  </si>
  <si>
    <t>E05002071</t>
  </si>
  <si>
    <t>E05002072</t>
  </si>
  <si>
    <t>E05002073</t>
  </si>
  <si>
    <t>E05002074</t>
  </si>
  <si>
    <t>E05002075</t>
  </si>
  <si>
    <t>E05002076</t>
  </si>
  <si>
    <t>E05002077</t>
  </si>
  <si>
    <t>E05002078</t>
  </si>
  <si>
    <t>E05002079</t>
  </si>
  <si>
    <t>E05002080</t>
  </si>
  <si>
    <t>E05002081</t>
  </si>
  <si>
    <t>E05002082</t>
  </si>
  <si>
    <t>E05002083</t>
  </si>
  <si>
    <t>E05002084</t>
  </si>
  <si>
    <t>E05002085</t>
  </si>
  <si>
    <t>E05002086</t>
  </si>
  <si>
    <t>E05002087</t>
  </si>
  <si>
    <t>E05002088</t>
  </si>
  <si>
    <t>E05002089</t>
  </si>
  <si>
    <t>E05002090</t>
  </si>
  <si>
    <t>E05002091</t>
  </si>
  <si>
    <t>E05002092</t>
  </si>
  <si>
    <t>E05002093</t>
  </si>
  <si>
    <t>E05002094</t>
  </si>
  <si>
    <t>E05002095</t>
  </si>
  <si>
    <t>E05002096</t>
  </si>
  <si>
    <t>E05002097</t>
  </si>
  <si>
    <t>E05002098</t>
  </si>
  <si>
    <t>E05002099</t>
  </si>
  <si>
    <t>E05002100</t>
  </si>
  <si>
    <t>E05002101</t>
  </si>
  <si>
    <t>E05002102</t>
  </si>
  <si>
    <t>E05002103</t>
  </si>
  <si>
    <t>E05002104</t>
  </si>
  <si>
    <t>E05002105</t>
  </si>
  <si>
    <t>E05002106</t>
  </si>
  <si>
    <t>E05002107</t>
  </si>
  <si>
    <t>E05002108</t>
  </si>
  <si>
    <t>E05002109</t>
  </si>
  <si>
    <t>E05002110</t>
  </si>
  <si>
    <t>E05002111</t>
  </si>
  <si>
    <t>E05002112</t>
  </si>
  <si>
    <t>E05002113</t>
  </si>
  <si>
    <t>E05002114</t>
  </si>
  <si>
    <t>E05002115</t>
  </si>
  <si>
    <t>E05002116</t>
  </si>
  <si>
    <t>E05002117</t>
  </si>
  <si>
    <t>E05002118</t>
  </si>
  <si>
    <t>E05002119</t>
  </si>
  <si>
    <t>E05002120</t>
  </si>
  <si>
    <t>E05002121</t>
  </si>
  <si>
    <t>E05002122</t>
  </si>
  <si>
    <t>E05002123</t>
  </si>
  <si>
    <t>E05002124</t>
  </si>
  <si>
    <t>E05002125</t>
  </si>
  <si>
    <t>E05002126</t>
  </si>
  <si>
    <t>E05002127</t>
  </si>
  <si>
    <t>E05002128</t>
  </si>
  <si>
    <t>E05002129</t>
  </si>
  <si>
    <t>E05002130</t>
  </si>
  <si>
    <t>E05006760</t>
  </si>
  <si>
    <t>E05006761</t>
  </si>
  <si>
    <t>E05006762</t>
  </si>
  <si>
    <t>E05006763</t>
  </si>
  <si>
    <t>E05006764</t>
  </si>
  <si>
    <t>E05006765</t>
  </si>
  <si>
    <t>E05006766</t>
  </si>
  <si>
    <t>E05006767</t>
  </si>
  <si>
    <t>E05006768</t>
  </si>
  <si>
    <t>E05006769</t>
  </si>
  <si>
    <t>E05006770</t>
  </si>
  <si>
    <t>E05006771</t>
  </si>
  <si>
    <t>E05006772</t>
  </si>
  <si>
    <t>E05006773</t>
  </si>
  <si>
    <t>E05006774</t>
  </si>
  <si>
    <t>E05006775</t>
  </si>
  <si>
    <t>E05006776</t>
  </si>
  <si>
    <t>E05006777</t>
  </si>
  <si>
    <t>E05006778</t>
  </si>
  <si>
    <t>E05006779</t>
  </si>
  <si>
    <t>E05006780</t>
  </si>
  <si>
    <t>E05006781</t>
  </si>
  <si>
    <t>E05006782</t>
  </si>
  <si>
    <t>E05006783</t>
  </si>
  <si>
    <t>E05006784</t>
  </si>
  <si>
    <t>E05006785</t>
  </si>
  <si>
    <t>E05006786</t>
  </si>
  <si>
    <t>E05006787</t>
  </si>
  <si>
    <t>E05006788</t>
  </si>
  <si>
    <t>E05006789</t>
  </si>
  <si>
    <t>E05006790</t>
  </si>
  <si>
    <t>E05006791</t>
  </si>
  <si>
    <t>E05006792</t>
  </si>
  <si>
    <t>E05006793</t>
  </si>
  <si>
    <t>E05006819</t>
  </si>
  <si>
    <t>E05006820</t>
  </si>
  <si>
    <t>E05006821</t>
  </si>
  <si>
    <t>E05006822</t>
  </si>
  <si>
    <t>E05006823</t>
  </si>
  <si>
    <t>E05006824</t>
  </si>
  <si>
    <t>E05006825</t>
  </si>
  <si>
    <t>E05006826</t>
  </si>
  <si>
    <t>E05006827</t>
  </si>
  <si>
    <t>E05006828</t>
  </si>
  <si>
    <t>E05006829</t>
  </si>
  <si>
    <t>E05006830</t>
  </si>
  <si>
    <t>E05006831</t>
  </si>
  <si>
    <t>E05006832</t>
  </si>
  <si>
    <t>E05006833</t>
  </si>
  <si>
    <t>E05006834</t>
  </si>
  <si>
    <t>E05006835</t>
  </si>
  <si>
    <t>E05006836</t>
  </si>
  <si>
    <t>E05006837</t>
  </si>
  <si>
    <t>E05006838</t>
  </si>
  <si>
    <t>E05006839</t>
  </si>
  <si>
    <t>E05006840</t>
  </si>
  <si>
    <t>E05006841</t>
  </si>
  <si>
    <t>E05006842</t>
  </si>
  <si>
    <t>E05006843</t>
  </si>
  <si>
    <t>E05006844</t>
  </si>
  <si>
    <t>E05006845</t>
  </si>
  <si>
    <t>E05006846</t>
  </si>
  <si>
    <t>E05006847</t>
  </si>
  <si>
    <t>E05006848</t>
  </si>
  <si>
    <t>E05006849</t>
  </si>
  <si>
    <t>E05006850</t>
  </si>
  <si>
    <t>E05006851</t>
  </si>
  <si>
    <t>E05006852</t>
  </si>
  <si>
    <t>E05006853</t>
  </si>
  <si>
    <t>E05006854</t>
  </si>
  <si>
    <t>E05006855</t>
  </si>
  <si>
    <t>E05006856</t>
  </si>
  <si>
    <t>E05006857</t>
  </si>
  <si>
    <t>E05006858</t>
  </si>
  <si>
    <t>E05006859</t>
  </si>
  <si>
    <t>E05006860</t>
  </si>
  <si>
    <t>E05006861</t>
  </si>
  <si>
    <t>E05006862</t>
  </si>
  <si>
    <t>E05006863</t>
  </si>
  <si>
    <t>E05006864</t>
  </si>
  <si>
    <t>E05006865</t>
  </si>
  <si>
    <t>E05006866</t>
  </si>
  <si>
    <t>E05006867</t>
  </si>
  <si>
    <t>E05006868</t>
  </si>
  <si>
    <t>E05006869</t>
  </si>
  <si>
    <t>E05006870</t>
  </si>
  <si>
    <t>E05006871</t>
  </si>
  <si>
    <t>E05006872</t>
  </si>
  <si>
    <t>E05006873</t>
  </si>
  <si>
    <t>E05006874</t>
  </si>
  <si>
    <t>E05006875</t>
  </si>
  <si>
    <t>E05006876</t>
  </si>
  <si>
    <t>E05006877</t>
  </si>
  <si>
    <t>E05006878</t>
  </si>
  <si>
    <t>E05006879</t>
  </si>
  <si>
    <t>E05006880</t>
  </si>
  <si>
    <t>E05006881</t>
  </si>
  <si>
    <t>E05006882</t>
  </si>
  <si>
    <t>E05006883</t>
  </si>
  <si>
    <t>E05008322</t>
  </si>
  <si>
    <t>E05008323</t>
  </si>
  <si>
    <t>E05008324</t>
  </si>
  <si>
    <t>E05008325</t>
  </si>
  <si>
    <t>E05008326</t>
  </si>
  <si>
    <t>E05003459</t>
  </si>
  <si>
    <t>E05003460</t>
  </si>
  <si>
    <t>E05003461</t>
  </si>
  <si>
    <t>E05003462</t>
  </si>
  <si>
    <t>E05003463</t>
  </si>
  <si>
    <t>E05003464</t>
  </si>
  <si>
    <t>E05003465</t>
  </si>
  <si>
    <t>E05003466</t>
  </si>
  <si>
    <t>E05003467</t>
  </si>
  <si>
    <t>E05003468</t>
  </si>
  <si>
    <t>E05003469</t>
  </si>
  <si>
    <t>E05003470</t>
  </si>
  <si>
    <t>E05003471</t>
  </si>
  <si>
    <t>E05003472</t>
  </si>
  <si>
    <t>E05003475</t>
  </si>
  <si>
    <t>E05003476</t>
  </si>
  <si>
    <t>E05003477</t>
  </si>
  <si>
    <t>E05003478</t>
  </si>
  <si>
    <t>E05003480</t>
  </si>
  <si>
    <t>E05003481</t>
  </si>
  <si>
    <t>E05003482</t>
  </si>
  <si>
    <t>E05003483</t>
  </si>
  <si>
    <t>E05003484</t>
  </si>
  <si>
    <t>E05003485</t>
  </si>
  <si>
    <t>E05003486</t>
  </si>
  <si>
    <t>E05003487</t>
  </si>
  <si>
    <t>E05003489</t>
  </si>
  <si>
    <t>E05003490</t>
  </si>
  <si>
    <t>E05003491</t>
  </si>
  <si>
    <t>E05003492</t>
  </si>
  <si>
    <t>E05003493</t>
  </si>
  <si>
    <t>E05003494</t>
  </si>
  <si>
    <t>E05003495</t>
  </si>
  <si>
    <t>E05003496</t>
  </si>
  <si>
    <t>E05003497</t>
  </si>
  <si>
    <t>E05003498</t>
  </si>
  <si>
    <t>E05003499</t>
  </si>
  <si>
    <t>E05003500</t>
  </si>
  <si>
    <t>E05003501</t>
  </si>
  <si>
    <t>E05003502</t>
  </si>
  <si>
    <t>E05003503</t>
  </si>
  <si>
    <t>E05003504</t>
  </si>
  <si>
    <t>E05003505</t>
  </si>
  <si>
    <t>E05003506</t>
  </si>
  <si>
    <t>E05003507</t>
  </si>
  <si>
    <t>E05003508</t>
  </si>
  <si>
    <t>E05003510</t>
  </si>
  <si>
    <t>E05003511</t>
  </si>
  <si>
    <t>E05003512</t>
  </si>
  <si>
    <t>E05003513</t>
  </si>
  <si>
    <t>E05003514</t>
  </si>
  <si>
    <t>E05003515</t>
  </si>
  <si>
    <t>E05003516</t>
  </si>
  <si>
    <t>E05003517</t>
  </si>
  <si>
    <t>E05003518</t>
  </si>
  <si>
    <t>E05003519</t>
  </si>
  <si>
    <t>E05003520</t>
  </si>
  <si>
    <t>E05003521</t>
  </si>
  <si>
    <t>E05003522</t>
  </si>
  <si>
    <t>E05003524</t>
  </si>
  <si>
    <t>E05003525</t>
  </si>
  <si>
    <t>E05003526</t>
  </si>
  <si>
    <t>E05003527</t>
  </si>
  <si>
    <t>E05003528</t>
  </si>
  <si>
    <t>E05003529</t>
  </si>
  <si>
    <t>E05003530</t>
  </si>
  <si>
    <t>E05003531</t>
  </si>
  <si>
    <t>E05003533</t>
  </si>
  <si>
    <t>E05003534</t>
  </si>
  <si>
    <t>E05003535</t>
  </si>
  <si>
    <t>E05003536</t>
  </si>
  <si>
    <t>E05003537</t>
  </si>
  <si>
    <t>E05003538</t>
  </si>
  <si>
    <t>E05003540</t>
  </si>
  <si>
    <t>E05003541</t>
  </si>
  <si>
    <t>E05003542</t>
  </si>
  <si>
    <t>E05003543</t>
  </si>
  <si>
    <t>E05003544</t>
  </si>
  <si>
    <t>E05003545</t>
  </si>
  <si>
    <t>E05003546</t>
  </si>
  <si>
    <t>E05003547</t>
  </si>
  <si>
    <t>E05003548</t>
  </si>
  <si>
    <t>E05003549</t>
  </si>
  <si>
    <t>E05003551</t>
  </si>
  <si>
    <t>E05003552</t>
  </si>
  <si>
    <t>E05003553</t>
  </si>
  <si>
    <t>E05003554</t>
  </si>
  <si>
    <t>E05003555</t>
  </si>
  <si>
    <t>E05003556</t>
  </si>
  <si>
    <t>E05003557</t>
  </si>
  <si>
    <t>E05003558</t>
  </si>
  <si>
    <t>E05003559</t>
  </si>
  <si>
    <t>E05003591</t>
  </si>
  <si>
    <t>E05003592</t>
  </si>
  <si>
    <t>E05003593</t>
  </si>
  <si>
    <t>E05003594</t>
  </si>
  <si>
    <t>E05003595</t>
  </si>
  <si>
    <t>E05003596</t>
  </si>
  <si>
    <t>E05003597</t>
  </si>
  <si>
    <t>E05003599</t>
  </si>
  <si>
    <t>E05003600</t>
  </si>
  <si>
    <t>E05003601</t>
  </si>
  <si>
    <t>E05003602</t>
  </si>
  <si>
    <t>E05003603</t>
  </si>
  <si>
    <t>E05003604</t>
  </si>
  <si>
    <t>E05003605</t>
  </si>
  <si>
    <t>E05003606</t>
  </si>
  <si>
    <t>E05003607</t>
  </si>
  <si>
    <t>E05003608</t>
  </si>
  <si>
    <t>E05003609</t>
  </si>
  <si>
    <t>E05003610</t>
  </si>
  <si>
    <t>E05003611</t>
  </si>
  <si>
    <t>E05003612</t>
  </si>
  <si>
    <t>E05003613</t>
  </si>
  <si>
    <t>E05003614</t>
  </si>
  <si>
    <t>E05003615</t>
  </si>
  <si>
    <t>E05003616</t>
  </si>
  <si>
    <t>E05003617</t>
  </si>
  <si>
    <t>E05003618</t>
  </si>
  <si>
    <t>E05003619</t>
  </si>
  <si>
    <t>E05003620</t>
  </si>
  <si>
    <t>E05003621</t>
  </si>
  <si>
    <t>E05003622</t>
  </si>
  <si>
    <t>E05003623</t>
  </si>
  <si>
    <t>E05003624</t>
  </si>
  <si>
    <t>E05003625</t>
  </si>
  <si>
    <t>E05003626</t>
  </si>
  <si>
    <t>E05003627</t>
  </si>
  <si>
    <t>E05003628</t>
  </si>
  <si>
    <t>E05003629</t>
  </si>
  <si>
    <t>E05003630</t>
  </si>
  <si>
    <t>E05003631</t>
  </si>
  <si>
    <t>E05003632</t>
  </si>
  <si>
    <t>E05003633</t>
  </si>
  <si>
    <t>E05003634</t>
  </si>
  <si>
    <t>E05003635</t>
  </si>
  <si>
    <t>E05003636</t>
  </si>
  <si>
    <t>E05003637</t>
  </si>
  <si>
    <t>E05003660</t>
  </si>
  <si>
    <t>E05003661</t>
  </si>
  <si>
    <t>E05003662</t>
  </si>
  <si>
    <t>E05003663</t>
  </si>
  <si>
    <t>E05003664</t>
  </si>
  <si>
    <t>E05003665</t>
  </si>
  <si>
    <t>E05003666</t>
  </si>
  <si>
    <t>E05003667</t>
  </si>
  <si>
    <t>E05003668</t>
  </si>
  <si>
    <t>E05003669</t>
  </si>
  <si>
    <t>E05003670</t>
  </si>
  <si>
    <t>E05003770</t>
  </si>
  <si>
    <t>E05003771</t>
  </si>
  <si>
    <t>E05003772</t>
  </si>
  <si>
    <t>E05003773</t>
  </si>
  <si>
    <t>E05003774</t>
  </si>
  <si>
    <t>E05003775</t>
  </si>
  <si>
    <t>E05003776</t>
  </si>
  <si>
    <t>E05003777</t>
  </si>
  <si>
    <t>E05003778</t>
  </si>
  <si>
    <t>E05003779</t>
  </si>
  <si>
    <t>E05003780</t>
  </si>
  <si>
    <t>E05003781</t>
  </si>
  <si>
    <t>E05003782</t>
  </si>
  <si>
    <t>E05003783</t>
  </si>
  <si>
    <t>E05003784</t>
  </si>
  <si>
    <t>E05008327</t>
  </si>
  <si>
    <t>E05008328</t>
  </si>
  <si>
    <t>E05008329</t>
  </si>
  <si>
    <t>E05008330</t>
  </si>
  <si>
    <t>E05008331</t>
  </si>
  <si>
    <t>E05008332</t>
  </si>
  <si>
    <t>E05008333</t>
  </si>
  <si>
    <t>E05008334</t>
  </si>
  <si>
    <t>E05008335</t>
  </si>
  <si>
    <t>E05008336</t>
  </si>
  <si>
    <t>E05008337</t>
  </si>
  <si>
    <t>E05008338</t>
  </si>
  <si>
    <t>E05008339</t>
  </si>
  <si>
    <t>E05008340</t>
  </si>
  <si>
    <t>E05008341</t>
  </si>
  <si>
    <t>E05008342</t>
  </si>
  <si>
    <t>E05008343</t>
  </si>
  <si>
    <t>E05008344</t>
  </si>
  <si>
    <t>E05008345</t>
  </si>
  <si>
    <t>E05008346</t>
  </si>
  <si>
    <t>E05008347</t>
  </si>
  <si>
    <t>E05008348</t>
  </si>
  <si>
    <t>E05008349</t>
  </si>
  <si>
    <t>E05008350</t>
  </si>
  <si>
    <t>E05008351</t>
  </si>
  <si>
    <t>E05008352</t>
  </si>
  <si>
    <t>E05008353</t>
  </si>
  <si>
    <t>E05008354</t>
  </si>
  <si>
    <t>E05008355</t>
  </si>
  <si>
    <t>E05008356</t>
  </si>
  <si>
    <t>E05008357</t>
  </si>
  <si>
    <t>E05008358</t>
  </si>
  <si>
    <t>E05008359</t>
  </si>
  <si>
    <t>E05008360</t>
  </si>
  <si>
    <t>E05008361</t>
  </si>
  <si>
    <t>E05008362</t>
  </si>
  <si>
    <t>E05008363</t>
  </si>
  <si>
    <t>E05008364</t>
  </si>
  <si>
    <t>E05008365</t>
  </si>
  <si>
    <t>E05008366</t>
  </si>
  <si>
    <t>E05008367</t>
  </si>
  <si>
    <t>E05008368</t>
  </si>
  <si>
    <t>E05008369</t>
  </si>
  <si>
    <t>E05008370</t>
  </si>
  <si>
    <t>E05008371</t>
  </si>
  <si>
    <t>E05008372</t>
  </si>
  <si>
    <t>E05008373</t>
  </si>
  <si>
    <t>E05008374</t>
  </si>
  <si>
    <t>E05008375</t>
  </si>
  <si>
    <t>E05008376</t>
  </si>
  <si>
    <t>E05008377</t>
  </si>
  <si>
    <t>E05008378</t>
  </si>
  <si>
    <t>E05008379</t>
  </si>
  <si>
    <t>E05008380</t>
  </si>
  <si>
    <t>E05008381</t>
  </si>
  <si>
    <t>E05008382</t>
  </si>
  <si>
    <t>E05008383</t>
  </si>
  <si>
    <t>E05008384</t>
  </si>
  <si>
    <t>E05008385</t>
  </si>
  <si>
    <t>E05008386</t>
  </si>
  <si>
    <t>E05008387</t>
  </si>
  <si>
    <t>E05008388</t>
  </si>
  <si>
    <t>E05008389</t>
  </si>
  <si>
    <t>E05008390</t>
  </si>
  <si>
    <t>E05008391</t>
  </si>
  <si>
    <t>E05008392</t>
  </si>
  <si>
    <t>E05008393</t>
  </si>
  <si>
    <t>E05008394</t>
  </si>
  <si>
    <t>E05008395</t>
  </si>
  <si>
    <t>E05008396</t>
  </si>
  <si>
    <t>E05008397</t>
  </si>
  <si>
    <t>E05008398</t>
  </si>
  <si>
    <t>E05008399</t>
  </si>
  <si>
    <t>E05008400</t>
  </si>
  <si>
    <t>E05008401</t>
  </si>
  <si>
    <t>E05008402</t>
  </si>
  <si>
    <t>E05008403</t>
  </si>
  <si>
    <t>E05008404</t>
  </si>
  <si>
    <t>E05008405</t>
  </si>
  <si>
    <t>E05008406</t>
  </si>
  <si>
    <t>E05008407</t>
  </si>
  <si>
    <t>E05008408</t>
  </si>
  <si>
    <t>E05008409</t>
  </si>
  <si>
    <t>E05008410</t>
  </si>
  <si>
    <t>E05008411</t>
  </si>
  <si>
    <t>E05008412</t>
  </si>
  <si>
    <t>E05008413</t>
  </si>
  <si>
    <t>E05008414</t>
  </si>
  <si>
    <t>E05008415</t>
  </si>
  <si>
    <t>E05008416</t>
  </si>
  <si>
    <t>E05008417</t>
  </si>
  <si>
    <t>E05008418</t>
  </si>
  <si>
    <t>E05008419</t>
  </si>
  <si>
    <t>E05008420</t>
  </si>
  <si>
    <t>E05008421</t>
  </si>
  <si>
    <t>E05008422</t>
  </si>
  <si>
    <t>E05008423</t>
  </si>
  <si>
    <t>E05008424</t>
  </si>
  <si>
    <t>E05004288</t>
  </si>
  <si>
    <t>E05004289</t>
  </si>
  <si>
    <t>E05004290</t>
  </si>
  <si>
    <t>E05004291</t>
  </si>
  <si>
    <t>E05004292</t>
  </si>
  <si>
    <t>E05004293</t>
  </si>
  <si>
    <t>E05004294</t>
  </si>
  <si>
    <t>E05004295</t>
  </si>
  <si>
    <t>E05004296</t>
  </si>
  <si>
    <t>E05004297</t>
  </si>
  <si>
    <t>E05004298</t>
  </si>
  <si>
    <t>E05004299</t>
  </si>
  <si>
    <t>E05004300</t>
  </si>
  <si>
    <t>E05004301</t>
  </si>
  <si>
    <t>E05004302</t>
  </si>
  <si>
    <t>E05004303</t>
  </si>
  <si>
    <t>E05004304</t>
  </si>
  <si>
    <t>E05004305</t>
  </si>
  <si>
    <t>E05004306</t>
  </si>
  <si>
    <t>E05004307</t>
  </si>
  <si>
    <t>E05004336</t>
  </si>
  <si>
    <t>E05004337</t>
  </si>
  <si>
    <t>E05004338</t>
  </si>
  <si>
    <t>E05004339</t>
  </si>
  <si>
    <t>E05004340</t>
  </si>
  <si>
    <t>E05004341</t>
  </si>
  <si>
    <t>E05004342</t>
  </si>
  <si>
    <t>E05004343</t>
  </si>
  <si>
    <t>E05004344</t>
  </si>
  <si>
    <t>E05004345</t>
  </si>
  <si>
    <t>E05004346</t>
  </si>
  <si>
    <t>E05004347</t>
  </si>
  <si>
    <t>E05004348</t>
  </si>
  <si>
    <t>E05004349</t>
  </si>
  <si>
    <t>E05004350</t>
  </si>
  <si>
    <t>E05004351</t>
  </si>
  <si>
    <t>E05004352</t>
  </si>
  <si>
    <t>E05004353</t>
  </si>
  <si>
    <t>E05004354</t>
  </si>
  <si>
    <t>E05004355</t>
  </si>
  <si>
    <t>E05004356</t>
  </si>
  <si>
    <t>E05004357</t>
  </si>
  <si>
    <t>E05004358</t>
  </si>
  <si>
    <t>E05004359</t>
  </si>
  <si>
    <t>E05004360</t>
  </si>
  <si>
    <t>E05004361</t>
  </si>
  <si>
    <t>E05004362</t>
  </si>
  <si>
    <t>E05004363</t>
  </si>
  <si>
    <t>E05004364</t>
  </si>
  <si>
    <t>E05004365</t>
  </si>
  <si>
    <t>E05004366</t>
  </si>
  <si>
    <t>E05004367</t>
  </si>
  <si>
    <t>E05004368</t>
  </si>
  <si>
    <t>E05004369</t>
  </si>
  <si>
    <t>E05004370</t>
  </si>
  <si>
    <t>E05004371</t>
  </si>
  <si>
    <t>E05004372</t>
  </si>
  <si>
    <t>E05004373</t>
  </si>
  <si>
    <t>E05004374</t>
  </si>
  <si>
    <t>E05004375</t>
  </si>
  <si>
    <t>E05004376</t>
  </si>
  <si>
    <t>E05004377</t>
  </si>
  <si>
    <t>E05004378</t>
  </si>
  <si>
    <t>E05004379</t>
  </si>
  <si>
    <t>E05004380</t>
  </si>
  <si>
    <t>E05004381</t>
  </si>
  <si>
    <t>E05004382</t>
  </si>
  <si>
    <t>E05004383</t>
  </si>
  <si>
    <t>E05004384</t>
  </si>
  <si>
    <t>E05004385</t>
  </si>
  <si>
    <t>E05004386</t>
  </si>
  <si>
    <t>E05004387</t>
  </si>
  <si>
    <t>E05004388</t>
  </si>
  <si>
    <t>E05004389</t>
  </si>
  <si>
    <t>E05004390</t>
  </si>
  <si>
    <t>E05004391</t>
  </si>
  <si>
    <t>E05004392</t>
  </si>
  <si>
    <t>E05004393</t>
  </si>
  <si>
    <t>E05004394</t>
  </si>
  <si>
    <t>E05004395</t>
  </si>
  <si>
    <t>E05004396</t>
  </si>
  <si>
    <t>E05004397</t>
  </si>
  <si>
    <t>E05004398</t>
  </si>
  <si>
    <t>E05004399</t>
  </si>
  <si>
    <t>E05004400</t>
  </si>
  <si>
    <t>E05004401</t>
  </si>
  <si>
    <t>E05004402</t>
  </si>
  <si>
    <t>E05004403</t>
  </si>
  <si>
    <t>E05004404</t>
  </si>
  <si>
    <t>E05004405</t>
  </si>
  <si>
    <t>E05004406</t>
  </si>
  <si>
    <t>E05004407</t>
  </si>
  <si>
    <t>E05004408</t>
  </si>
  <si>
    <t>E05004412</t>
  </si>
  <si>
    <t>E05004416</t>
  </si>
  <si>
    <t>E05004418</t>
  </si>
  <si>
    <t>E05004420</t>
  </si>
  <si>
    <t>E05004422</t>
  </si>
  <si>
    <t>E05004425</t>
  </si>
  <si>
    <t>E05004427</t>
  </si>
  <si>
    <t>E05004428</t>
  </si>
  <si>
    <t>Gulval and Heamoor</t>
  </si>
  <si>
    <t>Ethandune</t>
  </si>
  <si>
    <t>Alcombe</t>
  </si>
  <si>
    <t>Brendon Hills</t>
  </si>
  <si>
    <t>Dulverton and District</t>
  </si>
  <si>
    <t>Dunster and Timberscombe</t>
  </si>
  <si>
    <t>Greater Exmoor</t>
  </si>
  <si>
    <t>Minehead Central</t>
  </si>
  <si>
    <t>E05008916</t>
  </si>
  <si>
    <t>E05008917</t>
  </si>
  <si>
    <t>E05008918</t>
  </si>
  <si>
    <t>E05008919</t>
  </si>
  <si>
    <t>E05008920</t>
  </si>
  <si>
    <t>E05008921</t>
  </si>
  <si>
    <t>E05008922</t>
  </si>
  <si>
    <t>E05008923</t>
  </si>
  <si>
    <t>E05008924</t>
  </si>
  <si>
    <t>E05008925</t>
  </si>
  <si>
    <t>E05008926</t>
  </si>
  <si>
    <t>E05008927</t>
  </si>
  <si>
    <t>E05008928</t>
  </si>
  <si>
    <t>E05008929</t>
  </si>
  <si>
    <t>E05008930</t>
  </si>
  <si>
    <t>E05008931</t>
  </si>
  <si>
    <t>* as created by The West Somerset (Electoral Changes) Order 2011</t>
  </si>
  <si>
    <t>Axevale</t>
  </si>
  <si>
    <t>E05008893</t>
  </si>
  <si>
    <t>E05008894</t>
  </si>
  <si>
    <t>Bridgwater Dunwear</t>
  </si>
  <si>
    <t>E05008895</t>
  </si>
  <si>
    <t>E05008896</t>
  </si>
  <si>
    <t>Bridgwater Fairfax</t>
  </si>
  <si>
    <t>E05008897</t>
  </si>
  <si>
    <t>E05008898</t>
  </si>
  <si>
    <t>E05008899</t>
  </si>
  <si>
    <t>Bridgwater Westover</t>
  </si>
  <si>
    <t>E05008900</t>
  </si>
  <si>
    <t>Bridgwater Wyndham</t>
  </si>
  <si>
    <t>E05008901</t>
  </si>
  <si>
    <t>Burnham Central</t>
  </si>
  <si>
    <t>E05008902</t>
  </si>
  <si>
    <t>E05008903</t>
  </si>
  <si>
    <t>Cannington and Wembdon</t>
  </si>
  <si>
    <t>E05008904</t>
  </si>
  <si>
    <t>E05008905</t>
  </si>
  <si>
    <t>East Polden</t>
  </si>
  <si>
    <t>E05008906</t>
  </si>
  <si>
    <t>Highbridge and Burnham Marine</t>
  </si>
  <si>
    <t>E05008907</t>
  </si>
  <si>
    <t>E05008908</t>
  </si>
  <si>
    <t>E05008909</t>
  </si>
  <si>
    <t>E05008910</t>
  </si>
  <si>
    <t>E05008911</t>
  </si>
  <si>
    <t>Puriton and Woolavington</t>
  </si>
  <si>
    <t>E05008912</t>
  </si>
  <si>
    <t>Quantocks</t>
  </si>
  <si>
    <t>E05008913</t>
  </si>
  <si>
    <t>E05008914</t>
  </si>
  <si>
    <t>West Polden</t>
  </si>
  <si>
    <t>E05008915</t>
  </si>
  <si>
    <t>E05008542</t>
  </si>
  <si>
    <t>E05008543</t>
  </si>
  <si>
    <t>E05008544</t>
  </si>
  <si>
    <t>E05008545</t>
  </si>
  <si>
    <t>E05008599</t>
  </si>
  <si>
    <t>E05008600</t>
  </si>
  <si>
    <t>E05008546</t>
  </si>
  <si>
    <t>* as created by The District of Mid Devon (Electoral Changes) Order 1999 and</t>
  </si>
  <si>
    <t xml:space="preserve">   as altered by The Mid Devon (Related Alterations) Order 2009</t>
  </si>
  <si>
    <t>* as created by The District of East Devon (Electoral Changes) Order 1999 and</t>
  </si>
  <si>
    <t xml:space="preserve">   as altered by The East Devon (Related Alterations) Order 2009</t>
  </si>
  <si>
    <t>* as created by The District of Teignbridge (Electoral Changes) Order 1999 and</t>
  </si>
  <si>
    <t xml:space="preserve">   as altered by The Teignbridge (Electoral Changes) Order 2010</t>
  </si>
  <si>
    <t>* as created by The Borough of Tewkesbury (Electoral Changes) Order 2001 and</t>
  </si>
  <si>
    <t xml:space="preserve">   as altered by The Tewkesbury (Related Alterations) Order 2009</t>
  </si>
  <si>
    <t>E05008563</t>
  </si>
  <si>
    <t>E05008564</t>
  </si>
  <si>
    <t>E05008565</t>
  </si>
  <si>
    <t>E05008566</t>
  </si>
  <si>
    <t>E05008567</t>
  </si>
  <si>
    <t>E05008568</t>
  </si>
  <si>
    <t>E05008569</t>
  </si>
  <si>
    <t>E05008570</t>
  </si>
  <si>
    <t>E05008571</t>
  </si>
  <si>
    <t>E05008572</t>
  </si>
  <si>
    <t>E05008573</t>
  </si>
  <si>
    <t>E05008574</t>
  </si>
  <si>
    <t>E05008575</t>
  </si>
  <si>
    <t>Blunsdon and Highworth</t>
  </si>
  <si>
    <t>Chiseldon and Lawn</t>
  </si>
  <si>
    <t>Covingham and Dorcan</t>
  </si>
  <si>
    <t>Liden, Eldene and Park South</t>
  </si>
  <si>
    <t>Lydiard and Freshbrook</t>
  </si>
  <si>
    <t>Mannington and Western</t>
  </si>
  <si>
    <t>Penhill and Upper Stratton</t>
  </si>
  <si>
    <t>Priory Vale</t>
  </si>
  <si>
    <t>Rodbourne Cheney</t>
  </si>
  <si>
    <t>St Margaret and South Marston</t>
  </si>
  <si>
    <t>Walcot and Park North</t>
  </si>
  <si>
    <t>Wroughton and Wichelstowe</t>
  </si>
  <si>
    <t>E05008954</t>
  </si>
  <si>
    <t>E05008955</t>
  </si>
  <si>
    <t>E05008956</t>
  </si>
  <si>
    <t>E05008957</t>
  </si>
  <si>
    <t>E05008958</t>
  </si>
  <si>
    <t>E05008960</t>
  </si>
  <si>
    <t>E05008961</t>
  </si>
  <si>
    <t>E05008962</t>
  </si>
  <si>
    <t>E05008963</t>
  </si>
  <si>
    <t>E05008965</t>
  </si>
  <si>
    <t>E05008966</t>
  </si>
  <si>
    <t>E05008967</t>
  </si>
  <si>
    <t>E05008968</t>
  </si>
  <si>
    <t>E05008969</t>
  </si>
  <si>
    <t>E05008970</t>
  </si>
  <si>
    <t>E05008971</t>
  </si>
  <si>
    <t>E05008972</t>
  </si>
  <si>
    <t>Altarnun</t>
  </si>
  <si>
    <t>UK Electoral quota</t>
  </si>
  <si>
    <t>E05008547</t>
  </si>
  <si>
    <t>Frampton Cotterell</t>
  </si>
  <si>
    <t>Cullompton South</t>
  </si>
  <si>
    <t>Kingsteignton East</t>
  </si>
  <si>
    <t>Kingsteignton West</t>
  </si>
  <si>
    <t>Trowbridge Lambrok</t>
  </si>
  <si>
    <t>Current</t>
  </si>
  <si>
    <t>Bodmin St Leonard</t>
  </si>
  <si>
    <t>Bodmin St Mary's</t>
  </si>
  <si>
    <t>Bodmin St Petroc</t>
  </si>
  <si>
    <t>Breage, Germoe and Sithney</t>
  </si>
  <si>
    <t>Bude</t>
  </si>
  <si>
    <t>Camborne Pendarves</t>
  </si>
  <si>
    <t>Camborne Roskear</t>
  </si>
  <si>
    <t>Camborne Trelowarren</t>
  </si>
  <si>
    <t>Camborne Treslothan</t>
  </si>
  <si>
    <t>Camborne Treswithian</t>
  </si>
  <si>
    <t>Carharrack, Gwennap and St Day</t>
  </si>
  <si>
    <t>Chacewater, Kenwyn and Baldhu</t>
  </si>
  <si>
    <t>Constantine, Mawnan and Budock</t>
  </si>
  <si>
    <t>Crowan and Wendron</t>
  </si>
  <si>
    <t>Falmouth Smithick</t>
  </si>
  <si>
    <t>Feock and Playing Place</t>
  </si>
  <si>
    <t>Four Lanes</t>
  </si>
  <si>
    <t>Fowey and Tywardreath</t>
  </si>
  <si>
    <t>Grenville and Stratton</t>
  </si>
  <si>
    <t>Gunnislake and Calstock</t>
  </si>
  <si>
    <t>Helston South</t>
  </si>
  <si>
    <t>Lanivet and Blisland</t>
  </si>
  <si>
    <t>Lanner and Stithians</t>
  </si>
  <si>
    <t>Launceston North and North Petherwin</t>
  </si>
  <si>
    <t>Liskeard East</t>
  </si>
  <si>
    <t>Liskeard West and Dobwalls</t>
  </si>
  <si>
    <t>Lynher</t>
  </si>
  <si>
    <t>Mabe, Perranarworthal and St Gluvais</t>
  </si>
  <si>
    <t>Marazion and Perranuthnoe</t>
  </si>
  <si>
    <t>Mullion and Grade-Ruan</t>
  </si>
  <si>
    <t>Par and St Blazey Gate</t>
  </si>
  <si>
    <t>Penwithick and Boscoppa</t>
  </si>
  <si>
    <t>Pool and Tehidy</t>
  </si>
  <si>
    <t>Porthleven and Helston West</t>
  </si>
  <si>
    <t>Probus, Tregony and Grampound</t>
  </si>
  <si>
    <t>Rame Peninsular</t>
  </si>
  <si>
    <t>Saltash East</t>
  </si>
  <si>
    <t>Saltash North</t>
  </si>
  <si>
    <t>Saltash South</t>
  </si>
  <si>
    <t>Saltash West</t>
  </si>
  <si>
    <t>St Blazey</t>
  </si>
  <si>
    <t>St Columb Major</t>
  </si>
  <si>
    <t>St Dennis and Nanpean</t>
  </si>
  <si>
    <t>St Dominick, Harrowbarrow and Kelly Bray</t>
  </si>
  <si>
    <t>St Germans and Landulph</t>
  </si>
  <si>
    <t>St Issey and St Tudy</t>
  </si>
  <si>
    <t>St Just In Penwith</t>
  </si>
  <si>
    <t>St Mawgan and Colan</t>
  </si>
  <si>
    <t>St Minver and St Endellion</t>
  </si>
  <si>
    <t>St Stephen-In-Brannel</t>
  </si>
  <si>
    <t>St Teath and St Breward</t>
  </si>
  <si>
    <t>Trelawny</t>
  </si>
  <si>
    <t>Truro Redannick</t>
  </si>
  <si>
    <t>* as created by The Cornwall (Electoral Changes) Order 2013</t>
  </si>
  <si>
    <t>E05009159</t>
  </si>
  <si>
    <t>E05009160</t>
  </si>
  <si>
    <t>E05009161</t>
  </si>
  <si>
    <t>E05009162</t>
  </si>
  <si>
    <t>E05009163</t>
  </si>
  <si>
    <t>E05009164</t>
  </si>
  <si>
    <t>E05009165</t>
  </si>
  <si>
    <t>E05009166</t>
  </si>
  <si>
    <t>E05009167</t>
  </si>
  <si>
    <t>E05009168</t>
  </si>
  <si>
    <t>E05009169</t>
  </si>
  <si>
    <t>E05009170</t>
  </si>
  <si>
    <t>E05009171</t>
  </si>
  <si>
    <t>E05009172</t>
  </si>
  <si>
    <t>E05009173</t>
  </si>
  <si>
    <t>E05009174</t>
  </si>
  <si>
    <t>E05009175</t>
  </si>
  <si>
    <t>E05009176</t>
  </si>
  <si>
    <t>E05009177</t>
  </si>
  <si>
    <t>E05009178</t>
  </si>
  <si>
    <t>E05009179</t>
  </si>
  <si>
    <t>E05009180</t>
  </si>
  <si>
    <t>E05009181</t>
  </si>
  <si>
    <t>E05009182</t>
  </si>
  <si>
    <t>E05009183</t>
  </si>
  <si>
    <t>E05009184</t>
  </si>
  <si>
    <t>E05009185</t>
  </si>
  <si>
    <t>E05009186</t>
  </si>
  <si>
    <t>E05009187</t>
  </si>
  <si>
    <t>E05009188</t>
  </si>
  <si>
    <t>E05009189</t>
  </si>
  <si>
    <t>E05009190</t>
  </si>
  <si>
    <t>E05009191</t>
  </si>
  <si>
    <t>E05009192</t>
  </si>
  <si>
    <t>E05009193</t>
  </si>
  <si>
    <t>E05009194</t>
  </si>
  <si>
    <t>E05009195</t>
  </si>
  <si>
    <t>E05009196</t>
  </si>
  <si>
    <t>E05009197</t>
  </si>
  <si>
    <t>E05009198</t>
  </si>
  <si>
    <t>E05009199</t>
  </si>
  <si>
    <t>E05009200</t>
  </si>
  <si>
    <t>E05009201</t>
  </si>
  <si>
    <t>E05009202</t>
  </si>
  <si>
    <t>E05009203</t>
  </si>
  <si>
    <t>E05009204</t>
  </si>
  <si>
    <t>E05009205</t>
  </si>
  <si>
    <t>E05009206</t>
  </si>
  <si>
    <t>E05009207</t>
  </si>
  <si>
    <t>E05009208</t>
  </si>
  <si>
    <t>E05009209</t>
  </si>
  <si>
    <t>E05009210</t>
  </si>
  <si>
    <t>E05009211</t>
  </si>
  <si>
    <t>E05009212</t>
  </si>
  <si>
    <t>E05009213</t>
  </si>
  <si>
    <t>E05009214</t>
  </si>
  <si>
    <t>E05009215</t>
  </si>
  <si>
    <t>E05009216</t>
  </si>
  <si>
    <t>E05009217</t>
  </si>
  <si>
    <t>E05009218</t>
  </si>
  <si>
    <t>E05009219</t>
  </si>
  <si>
    <t>E05009220</t>
  </si>
  <si>
    <t>E05009221</t>
  </si>
  <si>
    <t>E05009222</t>
  </si>
  <si>
    <t>E05009223</t>
  </si>
  <si>
    <t>E05009224</t>
  </si>
  <si>
    <t>E05009225</t>
  </si>
  <si>
    <t>E05009226</t>
  </si>
  <si>
    <t>E05009227</t>
  </si>
  <si>
    <t>E05009228</t>
  </si>
  <si>
    <t>E05009229</t>
  </si>
  <si>
    <t>E05009230</t>
  </si>
  <si>
    <t>E05009231</t>
  </si>
  <si>
    <t>E05009232</t>
  </si>
  <si>
    <t>E05009233</t>
  </si>
  <si>
    <t>E05009234</t>
  </si>
  <si>
    <t>E05009235</t>
  </si>
  <si>
    <t>E05009236</t>
  </si>
  <si>
    <t>E05009237</t>
  </si>
  <si>
    <t>E05009238</t>
  </si>
  <si>
    <t>E05009239</t>
  </si>
  <si>
    <t>E05009240</t>
  </si>
  <si>
    <t>E05009241</t>
  </si>
  <si>
    <t>E05009242</t>
  </si>
  <si>
    <t>E05009243</t>
  </si>
  <si>
    <t>E05009244</t>
  </si>
  <si>
    <t>E05009245</t>
  </si>
  <si>
    <t>E05009246</t>
  </si>
  <si>
    <t>E05009247</t>
  </si>
  <si>
    <t>E05009248</t>
  </si>
  <si>
    <t>E05009249</t>
  </si>
  <si>
    <t>E05009250</t>
  </si>
  <si>
    <t>E05009251</t>
  </si>
  <si>
    <t>E05009252</t>
  </si>
  <si>
    <t>E05009253</t>
  </si>
  <si>
    <t>E05009254</t>
  </si>
  <si>
    <t>E05009255</t>
  </si>
  <si>
    <t>E05009256</t>
  </si>
  <si>
    <t>E05009257</t>
  </si>
  <si>
    <t>E05009258</t>
  </si>
  <si>
    <t>E05009259</t>
  </si>
  <si>
    <t>E05009260</t>
  </si>
  <si>
    <t>E05009261</t>
  </si>
  <si>
    <t>E05009262</t>
  </si>
  <si>
    <t>E05009263</t>
  </si>
  <si>
    <t>E05009264</t>
  </si>
  <si>
    <t>E05009265</t>
  </si>
  <si>
    <t>E05009266</t>
  </si>
  <si>
    <t>E05009267</t>
  </si>
  <si>
    <t>E05009268</t>
  </si>
  <si>
    <t>E05009269</t>
  </si>
  <si>
    <t>E05009270</t>
  </si>
  <si>
    <t>E05009271</t>
  </si>
  <si>
    <t>E05009272</t>
  </si>
  <si>
    <t>E05009273</t>
  </si>
  <si>
    <t>E05009274</t>
  </si>
  <si>
    <t>E05009275</t>
  </si>
  <si>
    <t>E05009276</t>
  </si>
  <si>
    <t>E05009277</t>
  </si>
  <si>
    <t>E05009278</t>
  </si>
  <si>
    <t>E05009279</t>
  </si>
  <si>
    <t>E05009280</t>
  </si>
  <si>
    <t>Looe West, Lansallos and Lanteglos</t>
  </si>
  <si>
    <t>"AVON" #</t>
  </si>
  <si>
    <t>WILTSHIRE &amp; SWINDON</t>
  </si>
  <si>
    <t>Allington &amp; Strete</t>
  </si>
  <si>
    <t>Bickleigh &amp; Cornwood</t>
  </si>
  <si>
    <t>Blackawton &amp; Stoke Fleming</t>
  </si>
  <si>
    <t>Dartington &amp; Staverton</t>
  </si>
  <si>
    <t>Dartmouth &amp; East Dart</t>
  </si>
  <si>
    <t>Ermington &amp; Ugborough</t>
  </si>
  <si>
    <t>Ivbridge East</t>
  </si>
  <si>
    <t>Ivybridge West</t>
  </si>
  <si>
    <t>Kingsbridge</t>
  </si>
  <si>
    <t>Loddiswell &amp; Aveton Gifford</t>
  </si>
  <si>
    <t>Salcombe &amp; Thurlestone</t>
  </si>
  <si>
    <t>Totnes</t>
  </si>
  <si>
    <t>Wembury &amp; Brixton</t>
  </si>
  <si>
    <t>Woolwell</t>
  </si>
  <si>
    <t>* as created by The South Hams (Electoral Changes) Order 2014</t>
  </si>
  <si>
    <t xml:space="preserve">   as altered by The North Devon (Parish Electoral Arrangements and Electoral Changes) Order 2007 and</t>
  </si>
  <si>
    <t xml:space="preserve">   The North Devon (Electoral Changes) Order 2012</t>
  </si>
  <si>
    <t>E05010084</t>
  </si>
  <si>
    <t>E05010085</t>
  </si>
  <si>
    <t>E05010128</t>
  </si>
  <si>
    <t>E05010129</t>
  </si>
  <si>
    <t>E05010130</t>
  </si>
  <si>
    <t>E05010131</t>
  </si>
  <si>
    <t>E05010132</t>
  </si>
  <si>
    <t>E05010133</t>
  </si>
  <si>
    <t>E05010134</t>
  </si>
  <si>
    <t>E05010135</t>
  </si>
  <si>
    <t>E05010136</t>
  </si>
  <si>
    <t>E05010137</t>
  </si>
  <si>
    <t>E05010138</t>
  </si>
  <si>
    <t>E05010139</t>
  </si>
  <si>
    <t>E05010140</t>
  </si>
  <si>
    <t>E05010141</t>
  </si>
  <si>
    <t>E05010142</t>
  </si>
  <si>
    <t>E05010143</t>
  </si>
  <si>
    <t>E05010144</t>
  </si>
  <si>
    <t>E05010145</t>
  </si>
  <si>
    <t>E05010146</t>
  </si>
  <si>
    <t>E05010147</t>
  </si>
  <si>
    <t>Difference from 2016 EQ</t>
  </si>
  <si>
    <t>E05010550</t>
  </si>
  <si>
    <t>E05010551</t>
  </si>
  <si>
    <t>Dartmoor</t>
  </si>
  <si>
    <t>Okehampton North</t>
  </si>
  <si>
    <t>Okehampton South</t>
  </si>
  <si>
    <t>Tavistock South East</t>
  </si>
  <si>
    <t>E05010552</t>
  </si>
  <si>
    <t>E05010553</t>
  </si>
  <si>
    <t>E05010554</t>
  </si>
  <si>
    <t>E05010555</t>
  </si>
  <si>
    <t>E05010556</t>
  </si>
  <si>
    <t>E05010557</t>
  </si>
  <si>
    <t>E05010558</t>
  </si>
  <si>
    <t>E05010559</t>
  </si>
  <si>
    <t>E05010560</t>
  </si>
  <si>
    <t>E05010561</t>
  </si>
  <si>
    <t>E05010562</t>
  </si>
  <si>
    <t>E05010563</t>
  </si>
  <si>
    <t>E05010564</t>
  </si>
  <si>
    <t>E05010565</t>
  </si>
  <si>
    <t>E05010566</t>
  </si>
  <si>
    <t>E05010567</t>
  </si>
  <si>
    <t>* as created by The West Devon (Electoral Changes) Order 2015</t>
  </si>
  <si>
    <t>E05010534</t>
  </si>
  <si>
    <t>E05010535</t>
  </si>
  <si>
    <t>E05010537</t>
  </si>
  <si>
    <t>E05010538</t>
  </si>
  <si>
    <t>E05010539</t>
  </si>
  <si>
    <t>E05010540</t>
  </si>
  <si>
    <t>E05010541</t>
  </si>
  <si>
    <t>E05010542</t>
  </si>
  <si>
    <t>E05010543</t>
  </si>
  <si>
    <t>E05010544</t>
  </si>
  <si>
    <t>E05010545</t>
  </si>
  <si>
    <t>E05010546</t>
  </si>
  <si>
    <t>E05010547</t>
  </si>
  <si>
    <t>E05010548</t>
  </si>
  <si>
    <t>E05010549</t>
  </si>
  <si>
    <t>Merley &amp; Bearwood</t>
  </si>
  <si>
    <t>* as created by The Poole (Electoral Changes) Order 2015</t>
  </si>
  <si>
    <t>E05009515</t>
  </si>
  <si>
    <t>Corfe Mullen</t>
  </si>
  <si>
    <t>Hampreston &amp; Longham</t>
  </si>
  <si>
    <t>Verwood East</t>
  </si>
  <si>
    <t>Verwood West</t>
  </si>
  <si>
    <t>West Moors &amp; Holt</t>
  </si>
  <si>
    <t>E05009516</t>
  </si>
  <si>
    <t>E05009517</t>
  </si>
  <si>
    <t>E05009518</t>
  </si>
  <si>
    <t>E05009519</t>
  </si>
  <si>
    <t>E05009520</t>
  </si>
  <si>
    <t>E05009521</t>
  </si>
  <si>
    <t>E05009522</t>
  </si>
  <si>
    <t>E05009523</t>
  </si>
  <si>
    <t>E05009524</t>
  </si>
  <si>
    <t>E05009525</t>
  </si>
  <si>
    <t>E05009526</t>
  </si>
  <si>
    <t>E05009527</t>
  </si>
  <si>
    <t>E05009528</t>
  </si>
  <si>
    <t>E05009529</t>
  </si>
  <si>
    <t>E05009530</t>
  </si>
  <si>
    <t>* as created by The East Dorset (Electoral Changes) Order 2014</t>
  </si>
  <si>
    <t>E05009996</t>
  </si>
  <si>
    <t>Blandford Central</t>
  </si>
  <si>
    <t>Gillingham Rural</t>
  </si>
  <si>
    <t>Lower Tarrants</t>
  </si>
  <si>
    <t>Motcombe &amp; Bourton</t>
  </si>
  <si>
    <t>Riversdale &amp; Portman</t>
  </si>
  <si>
    <t>Shaftesbury East</t>
  </si>
  <si>
    <t>Shaftesbury West</t>
  </si>
  <si>
    <t>Sturminster Newton</t>
  </si>
  <si>
    <t>The Stours &amp; Marnhull</t>
  </si>
  <si>
    <t>E05009997</t>
  </si>
  <si>
    <t>E05009998</t>
  </si>
  <si>
    <t>E05009999</t>
  </si>
  <si>
    <t>E05010000</t>
  </si>
  <si>
    <t>E05010001</t>
  </si>
  <si>
    <t>E05010002</t>
  </si>
  <si>
    <t>E05010003</t>
  </si>
  <si>
    <t>E05010004</t>
  </si>
  <si>
    <t>E05010005</t>
  </si>
  <si>
    <t>E05010006</t>
  </si>
  <si>
    <t>E05010007</t>
  </si>
  <si>
    <t>E05010008</t>
  </si>
  <si>
    <t>E05010009</t>
  </si>
  <si>
    <t>E05010010</t>
  </si>
  <si>
    <t>E05010011</t>
  </si>
  <si>
    <t>E05010012</t>
  </si>
  <si>
    <t>E05010013</t>
  </si>
  <si>
    <t>E05010014</t>
  </si>
  <si>
    <t>* as created by The North Dorset (Electoral Changes) Order 2014</t>
  </si>
  <si>
    <t>Lulworth and Winfrith</t>
  </si>
  <si>
    <t>St Martin</t>
  </si>
  <si>
    <t>E05009535</t>
  </si>
  <si>
    <t>E05009536</t>
  </si>
  <si>
    <t>E05009537</t>
  </si>
  <si>
    <t>E05009538</t>
  </si>
  <si>
    <t>E05009539</t>
  </si>
  <si>
    <t>E05009540</t>
  </si>
  <si>
    <t>E05009541</t>
  </si>
  <si>
    <t>* as created by The Purbeck (Electoral Changes) Order 2013 and</t>
  </si>
  <si>
    <t xml:space="preserve">   as altered by The Purbeck (Electoral Changes) Order 2015</t>
  </si>
  <si>
    <t>E05010749</t>
  </si>
  <si>
    <t>E05010750</t>
  </si>
  <si>
    <t>E05010751</t>
  </si>
  <si>
    <t>E05010752</t>
  </si>
  <si>
    <t>E05010753</t>
  </si>
  <si>
    <t>* as created by The Cotswold (Electoral Changes) Order 2015</t>
  </si>
  <si>
    <t>E05010696</t>
  </si>
  <si>
    <t>E05010697</t>
  </si>
  <si>
    <t>E05010698</t>
  </si>
  <si>
    <t>E05010699</t>
  </si>
  <si>
    <t>E05010700</t>
  </si>
  <si>
    <t>E05010701</t>
  </si>
  <si>
    <t>E05010702</t>
  </si>
  <si>
    <t>E05010703</t>
  </si>
  <si>
    <t>E05010704</t>
  </si>
  <si>
    <t>E05010705</t>
  </si>
  <si>
    <t>E05010706</t>
  </si>
  <si>
    <t>E05010707</t>
  </si>
  <si>
    <t>E05010708</t>
  </si>
  <si>
    <t>E05010709</t>
  </si>
  <si>
    <t>E05010710</t>
  </si>
  <si>
    <t>E05010711</t>
  </si>
  <si>
    <t>E05010712</t>
  </si>
  <si>
    <t>E05010713</t>
  </si>
  <si>
    <t>E05010714</t>
  </si>
  <si>
    <t>E05010715</t>
  </si>
  <si>
    <t>E05010716</t>
  </si>
  <si>
    <t>E05010717</t>
  </si>
  <si>
    <t>E05010718</t>
  </si>
  <si>
    <t>E05010719</t>
  </si>
  <si>
    <t>E05010720</t>
  </si>
  <si>
    <t>E05010721</t>
  </si>
  <si>
    <t>E05010722</t>
  </si>
  <si>
    <t>E05010723</t>
  </si>
  <si>
    <t>E05010724</t>
  </si>
  <si>
    <t>E05010725</t>
  </si>
  <si>
    <t>E05010726</t>
  </si>
  <si>
    <t>E05010727</t>
  </si>
  <si>
    <t>Watermoor</t>
  </si>
  <si>
    <t>The Rissingtons</t>
  </si>
  <si>
    <t>The Beeches</t>
  </si>
  <si>
    <t>The Ampneys &amp; Hampton</t>
  </si>
  <si>
    <t>Tetbury with Upton</t>
  </si>
  <si>
    <t>Tetbury Town</t>
  </si>
  <si>
    <t>Tetbury East &amp; Rural</t>
  </si>
  <si>
    <t>South Cerney Village</t>
  </si>
  <si>
    <t>Siddington &amp; Cerney Rural</t>
  </si>
  <si>
    <t>Bourton Vale</t>
  </si>
  <si>
    <t>Bourton Village</t>
  </si>
  <si>
    <t>Campden &amp; Vale</t>
  </si>
  <si>
    <t>Chedworth &amp; Churn Valley</t>
  </si>
  <si>
    <t>Coln Valley</t>
  </si>
  <si>
    <t>Fairford North</t>
  </si>
  <si>
    <t>Grumbolds Ash with Avening</t>
  </si>
  <si>
    <t>Kemble</t>
  </si>
  <si>
    <t>Lechlade, Kempsford &amp; Fairford South</t>
  </si>
  <si>
    <t>Moreton East</t>
  </si>
  <si>
    <t>Moreton West</t>
  </si>
  <si>
    <t>New Mills</t>
  </si>
  <si>
    <t>Four Acres</t>
  </si>
  <si>
    <t>E05010276</t>
  </si>
  <si>
    <t>* as created by The North Somerset (Electoral Changes) Order 2014</t>
  </si>
  <si>
    <t>Banwell &amp; Winscombe</t>
  </si>
  <si>
    <t>Blagdon &amp; Churchill</t>
  </si>
  <si>
    <t>Congresbury &amp; Puxton</t>
  </si>
  <si>
    <t>Gordano Valley</t>
  </si>
  <si>
    <t>Hutton &amp; Locking</t>
  </si>
  <si>
    <t>Long Ashton</t>
  </si>
  <si>
    <t>Nailsea Golden Valley</t>
  </si>
  <si>
    <t>Nailsea West End</t>
  </si>
  <si>
    <t>Nailsea Yeo</t>
  </si>
  <si>
    <t>Nailsea Youngwood</t>
  </si>
  <si>
    <t>Portishead North</t>
  </si>
  <si>
    <t>Portishead South</t>
  </si>
  <si>
    <t>Weston-super-Mare Bournville</t>
  </si>
  <si>
    <t>Weston-super-Mare Kewstoke</t>
  </si>
  <si>
    <t>Weston-super-Mare Mid Worle</t>
  </si>
  <si>
    <t>Weston-super-Mare Milton</t>
  </si>
  <si>
    <t>Weston-super-Mare Uphill</t>
  </si>
  <si>
    <t>Weston-super-Mare Winterstoke</t>
  </si>
  <si>
    <t>Wick St Lawrence &amp; St Georges</t>
  </si>
  <si>
    <t>E05010277</t>
  </si>
  <si>
    <t>E05010278</t>
  </si>
  <si>
    <t>E05010279</t>
  </si>
  <si>
    <t>E05010280</t>
  </si>
  <si>
    <t>E05010281</t>
  </si>
  <si>
    <t>E05010282</t>
  </si>
  <si>
    <t>E05010283</t>
  </si>
  <si>
    <t>E05010284</t>
  </si>
  <si>
    <t>E05010285</t>
  </si>
  <si>
    <t>E05010286</t>
  </si>
  <si>
    <t>E05010287</t>
  </si>
  <si>
    <t>E05010288</t>
  </si>
  <si>
    <t>E05010289</t>
  </si>
  <si>
    <t>E05010290</t>
  </si>
  <si>
    <t>E05010291</t>
  </si>
  <si>
    <t>E05010292</t>
  </si>
  <si>
    <t>E05010293</t>
  </si>
  <si>
    <t>E05010294</t>
  </si>
  <si>
    <t>E05010295</t>
  </si>
  <si>
    <t>E05010296</t>
  </si>
  <si>
    <t>E05010297</t>
  </si>
  <si>
    <t>E05010298</t>
  </si>
  <si>
    <t>E05010299</t>
  </si>
  <si>
    <t>E05010300</t>
  </si>
  <si>
    <t>E05010301</t>
  </si>
  <si>
    <t>E05010302</t>
  </si>
  <si>
    <t>E05010303</t>
  </si>
  <si>
    <t>E05010304</t>
  </si>
  <si>
    <t>E05010305</t>
  </si>
  <si>
    <t>E05010306</t>
  </si>
  <si>
    <t>E05010307</t>
  </si>
  <si>
    <t>E05010308</t>
  </si>
  <si>
    <t>E05010309</t>
  </si>
  <si>
    <t>E05010310</t>
  </si>
  <si>
    <t>E05010756</t>
  </si>
  <si>
    <t>E05010755</t>
  </si>
  <si>
    <t>E05010757</t>
  </si>
  <si>
    <t>* as created by The Swindon (Electoral Changes) Order 2012 and</t>
  </si>
  <si>
    <t xml:space="preserve">   as altered by The Swindon (Electoral Changes) Order 2015</t>
  </si>
  <si>
    <t>Royal Wotton Bassett East</t>
  </si>
  <si>
    <t>Royal Wootton Bassett North</t>
  </si>
  <si>
    <t>Royal Wootton Bassett South</t>
  </si>
  <si>
    <t>E05010580</t>
  </si>
  <si>
    <t>Bridport South</t>
  </si>
  <si>
    <t>Broadmayne &amp; Crossways</t>
  </si>
  <si>
    <t>E05010581</t>
  </si>
  <si>
    <t>E05010582</t>
  </si>
  <si>
    <t>E05010583</t>
  </si>
  <si>
    <t>E05010584</t>
  </si>
  <si>
    <t>Cerne Valley</t>
  </si>
  <si>
    <t>Chickerell &amp; Chesil Bank</t>
  </si>
  <si>
    <t>Chideock &amp; Symondsbury</t>
  </si>
  <si>
    <t>Lyme Regis &amp; Charmouth</t>
  </si>
  <si>
    <t>E05010585</t>
  </si>
  <si>
    <t>E05010586</t>
  </si>
  <si>
    <t>E05010587</t>
  </si>
  <si>
    <t>E05010588</t>
  </si>
  <si>
    <t>E05010589</t>
  </si>
  <si>
    <t>E05010590</t>
  </si>
  <si>
    <t>E05010591</t>
  </si>
  <si>
    <t>E05010592</t>
  </si>
  <si>
    <t>E05010593</t>
  </si>
  <si>
    <t>E05010594</t>
  </si>
  <si>
    <t>E05010595</t>
  </si>
  <si>
    <t>E05010596</t>
  </si>
  <si>
    <t>E05010597</t>
  </si>
  <si>
    <t>E05010598</t>
  </si>
  <si>
    <t>Yetminster &amp; Cam Vale</t>
  </si>
  <si>
    <t>* as created by The West Dorset (Electoral Changes) Order 2015</t>
  </si>
  <si>
    <t>E05010599</t>
  </si>
  <si>
    <t>E05010600</t>
  </si>
  <si>
    <t>E05010601</t>
  </si>
  <si>
    <t>E05010602</t>
  </si>
  <si>
    <t>E05010603</t>
  </si>
  <si>
    <t>* as created by The Avon (Structural Change) Order 1995</t>
  </si>
  <si>
    <t>* as created by The Wiltshire (Borough of Thamesdown) (Structural Change) Order 1995 and The Wiltshire (Structural Change) Order 2008</t>
  </si>
  <si>
    <t>E05010754</t>
  </si>
  <si>
    <t>E05008548</t>
  </si>
  <si>
    <t>Marldon &amp; Littlehempston</t>
  </si>
  <si>
    <t>Bath CC</t>
  </si>
  <si>
    <t>North East Somerset CC (pt)</t>
  </si>
  <si>
    <t>Weston-super-Mare CC</t>
  </si>
  <si>
    <t>Dursley, Thornbury and Yate CC</t>
  </si>
  <si>
    <t>Dursley, Thornbury and Yate CC (pt)</t>
  </si>
  <si>
    <t>West Gloucestershire CC</t>
  </si>
  <si>
    <t>West Gloucestershire CC (pt)</t>
  </si>
  <si>
    <t>Stroud CC (pt)</t>
  </si>
  <si>
    <t>Warminster and Shaftesbury CC</t>
  </si>
  <si>
    <t>Warminster and Shaftesbury CC (pt)</t>
  </si>
  <si>
    <t>Trowbridge CC</t>
  </si>
  <si>
    <t>North Dorset (pt)</t>
  </si>
  <si>
    <t>Bournemouth South BC</t>
  </si>
  <si>
    <t>Bournemouth North and Christchurch BC</t>
  </si>
  <si>
    <t xml:space="preserve">Broadstone, Ferndown and Kinson BC </t>
  </si>
  <si>
    <t>Bournemouth North and Christchurch BC (pt)</t>
  </si>
  <si>
    <t>Broadstone, Ferndown and Kinson BC  (pt)</t>
  </si>
  <si>
    <t>Blandford and Wimborne CC</t>
  </si>
  <si>
    <t>Blandford and Wimborne CC (pt)</t>
  </si>
  <si>
    <t>Plymouth North BC</t>
  </si>
  <si>
    <t>Plymouth South BC</t>
  </si>
  <si>
    <t>Tavistock and Ivybridge CC</t>
  </si>
  <si>
    <t>Torridge (pt)</t>
  </si>
  <si>
    <t>Bideford, Bude and Launceston CC</t>
  </si>
  <si>
    <t>Tavistock and Ivybridge CC (pt)</t>
  </si>
  <si>
    <t>Bideford, Bude and Launceston CC (pt)</t>
  </si>
  <si>
    <t>Bodmin and St Austell CC</t>
  </si>
  <si>
    <t>Truro and Newquay CC</t>
  </si>
  <si>
    <t>Falmouth and Camborne CC</t>
  </si>
  <si>
    <t>Herefordshire *</t>
  </si>
  <si>
    <t>Shropshire *</t>
  </si>
  <si>
    <t>Telford and Wrekin *</t>
  </si>
  <si>
    <t>SHROPSHIRE &amp; TELFORD AND WREKIN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</si>
  <si>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</si>
  <si>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</si>
  <si>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</si>
  <si>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</si>
  <si>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</si>
  <si>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</si>
  <si>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</si>
  <si>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</si>
  <si>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STAFFORDSHIRE</t>
  </si>
  <si>
    <t>Stoke-on-Trent *</t>
  </si>
  <si>
    <t>STAFFORDSHIRE &amp; STOKE-ON-TRENT</t>
  </si>
  <si>
    <t>North Warwickshire</t>
  </si>
  <si>
    <t>Nuneaton and Bedworth</t>
  </si>
  <si>
    <t>Rugby</t>
  </si>
  <si>
    <t>Stratford on Avon</t>
  </si>
  <si>
    <t>Warwick</t>
  </si>
  <si>
    <t>WARWICKSHIRE</t>
  </si>
  <si>
    <t>Birmingham</t>
  </si>
  <si>
    <t>Coventry</t>
  </si>
  <si>
    <t>Dudley</t>
  </si>
  <si>
    <t>Sandwell</t>
  </si>
  <si>
    <t>Solihull</t>
  </si>
  <si>
    <t>Walsall</t>
  </si>
  <si>
    <t>Wolverhampton</t>
  </si>
  <si>
    <t>WEST MIDLANDS</t>
  </si>
  <si>
    <t>Bromsgrove</t>
  </si>
  <si>
    <t>Malvern Hills</t>
  </si>
  <si>
    <t>Redditch</t>
  </si>
  <si>
    <t>Worcester</t>
  </si>
  <si>
    <t>Wychavon</t>
  </si>
  <si>
    <t>Wyre Forest</t>
  </si>
  <si>
    <t>WORCESTERSHIRE</t>
  </si>
  <si>
    <t>WEST MIDLANDS REGION</t>
  </si>
  <si>
    <t>HEREFORDSHIRE  *</t>
  </si>
  <si>
    <t>Hereford and South Herefordshire CC</t>
  </si>
  <si>
    <t>Herefordshire (pt)</t>
  </si>
  <si>
    <t>Ludlow and Leominster CC</t>
  </si>
  <si>
    <t>Shropshire (pt)</t>
  </si>
  <si>
    <t>Malvern and Ledbury CC</t>
  </si>
  <si>
    <t>Wychavon (pt)</t>
  </si>
  <si>
    <t>Arrow</t>
  </si>
  <si>
    <t>E05009438</t>
  </si>
  <si>
    <t>Aylestone Hill</t>
  </si>
  <si>
    <t>E05009439</t>
  </si>
  <si>
    <t>Backbury</t>
  </si>
  <si>
    <t>E05009440</t>
  </si>
  <si>
    <t>Belmont Rural</t>
  </si>
  <si>
    <t>E05009441</t>
  </si>
  <si>
    <t>Birch</t>
  </si>
  <si>
    <t>E05009442</t>
  </si>
  <si>
    <t>Bircher</t>
  </si>
  <si>
    <t>E05009443</t>
  </si>
  <si>
    <t>Bishops Frome &amp; Cradley</t>
  </si>
  <si>
    <t>E05009444</t>
  </si>
  <si>
    <t>Bobblestock</t>
  </si>
  <si>
    <t>E05009445</t>
  </si>
  <si>
    <t>Bromyard Bringsty</t>
  </si>
  <si>
    <t>E05009446</t>
  </si>
  <si>
    <t>Bromyard West</t>
  </si>
  <si>
    <t>E05009447</t>
  </si>
  <si>
    <t>E05009448</t>
  </si>
  <si>
    <t>E05009449</t>
  </si>
  <si>
    <t>E05009450</t>
  </si>
  <si>
    <t>Credenhill</t>
  </si>
  <si>
    <t>E05009451</t>
  </si>
  <si>
    <t>Dinedor Hill</t>
  </si>
  <si>
    <t>E05009452</t>
  </si>
  <si>
    <t>Eign Hill</t>
  </si>
  <si>
    <t>E05009453</t>
  </si>
  <si>
    <t>Golden Valley North</t>
  </si>
  <si>
    <t>E05009454</t>
  </si>
  <si>
    <t>Golden Valley South</t>
  </si>
  <si>
    <t>E05009455</t>
  </si>
  <si>
    <t>Greyfriars</t>
  </si>
  <si>
    <t>E05009456</t>
  </si>
  <si>
    <t>Hagley</t>
  </si>
  <si>
    <t>E05009457</t>
  </si>
  <si>
    <t>Hampton</t>
  </si>
  <si>
    <t>E05009458</t>
  </si>
  <si>
    <t>Hinton &amp; Hunderton</t>
  </si>
  <si>
    <t>E05009459</t>
  </si>
  <si>
    <t>Holmer</t>
  </si>
  <si>
    <t>E05009460</t>
  </si>
  <si>
    <t>Hope End</t>
  </si>
  <si>
    <t>E05009461</t>
  </si>
  <si>
    <t>Kerne Bridge</t>
  </si>
  <si>
    <t>E05009462</t>
  </si>
  <si>
    <t>Kings Acre</t>
  </si>
  <si>
    <t>E05009463</t>
  </si>
  <si>
    <t>E05009464</t>
  </si>
  <si>
    <t>Ledbury North</t>
  </si>
  <si>
    <t>E05009465</t>
  </si>
  <si>
    <t>Ledbury South</t>
  </si>
  <si>
    <t>E05009466</t>
  </si>
  <si>
    <t>Ledbury West</t>
  </si>
  <si>
    <t>E05009467</t>
  </si>
  <si>
    <t>Leominster East</t>
  </si>
  <si>
    <t>E05009468</t>
  </si>
  <si>
    <t>Leominster North &amp; Rural</t>
  </si>
  <si>
    <t>E05009469</t>
  </si>
  <si>
    <t>Leominster South</t>
  </si>
  <si>
    <t>E05009470</t>
  </si>
  <si>
    <t>Leominster West</t>
  </si>
  <si>
    <t>E05009471</t>
  </si>
  <si>
    <t>Llangarron</t>
  </si>
  <si>
    <t>E05009472</t>
  </si>
  <si>
    <t>Mortimer</t>
  </si>
  <si>
    <t>E05009473</t>
  </si>
  <si>
    <t>Newton Farm</t>
  </si>
  <si>
    <t>E05009474</t>
  </si>
  <si>
    <t>Old Gore</t>
  </si>
  <si>
    <t>E05009475</t>
  </si>
  <si>
    <t>Penyard</t>
  </si>
  <si>
    <t>E05009476</t>
  </si>
  <si>
    <t>Queenswood</t>
  </si>
  <si>
    <t>E05009477</t>
  </si>
  <si>
    <t>Red Hill</t>
  </si>
  <si>
    <t>E05009478</t>
  </si>
  <si>
    <t>Ross East</t>
  </si>
  <si>
    <t>E05009479</t>
  </si>
  <si>
    <t>Ross North</t>
  </si>
  <si>
    <t>E05009480</t>
  </si>
  <si>
    <t>Ross West</t>
  </si>
  <si>
    <t>E05009481</t>
  </si>
  <si>
    <t>Saxon Gate</t>
  </si>
  <si>
    <t>E05009482</t>
  </si>
  <si>
    <t>Stoney Street</t>
  </si>
  <si>
    <t>E05009483</t>
  </si>
  <si>
    <t>Sutton Walls</t>
  </si>
  <si>
    <t>E05009484</t>
  </si>
  <si>
    <t>Three Crosses</t>
  </si>
  <si>
    <t>E05009485</t>
  </si>
  <si>
    <t>Tupsley</t>
  </si>
  <si>
    <t>E05009486</t>
  </si>
  <si>
    <t>Weobley</t>
  </si>
  <si>
    <t>E05009487</t>
  </si>
  <si>
    <t>Whitecross</t>
  </si>
  <si>
    <t>E05009488</t>
  </si>
  <si>
    <t>Widemarsh</t>
  </si>
  <si>
    <t>E05009489</t>
  </si>
  <si>
    <t>Wormside</t>
  </si>
  <si>
    <t>E05009490</t>
  </si>
  <si>
    <t>* as created by The Herefordshire (Electoral Changes) Order 2014</t>
  </si>
  <si>
    <t>SHROPSHIRE  *</t>
  </si>
  <si>
    <t>TELFORD AND WREKIN  #</t>
  </si>
  <si>
    <t>North Shropshire CC</t>
  </si>
  <si>
    <t>Shrewsbury CC</t>
  </si>
  <si>
    <t>Telford BC</t>
  </si>
  <si>
    <t>Telford and Wrekin (pt)</t>
  </si>
  <si>
    <t>Bridgnorth, Wellington and The Wrekin CC</t>
  </si>
  <si>
    <t>* as created by The Shropshire (Structural Change) Order 2008</t>
  </si>
  <si>
    <t># as created by The Shropshire (District of The Wrekin) (Structural Change) Order 1996</t>
  </si>
  <si>
    <t>E05008136</t>
  </si>
  <si>
    <t>Albrighton</t>
  </si>
  <si>
    <t>E05008137</t>
  </si>
  <si>
    <t>Alveley and Claverley</t>
  </si>
  <si>
    <t>E05008138</t>
  </si>
  <si>
    <t>Bagley</t>
  </si>
  <si>
    <t>E05008139</t>
  </si>
  <si>
    <t>Battlefield</t>
  </si>
  <si>
    <t>E05008140</t>
  </si>
  <si>
    <t>Bayston Hill, Column and Sutton</t>
  </si>
  <si>
    <t>E05008141</t>
  </si>
  <si>
    <t>Belle Vue</t>
  </si>
  <si>
    <t>E05008142</t>
  </si>
  <si>
    <t>Bishop's Castle</t>
  </si>
  <si>
    <t>E05008143</t>
  </si>
  <si>
    <t>Bowbrook</t>
  </si>
  <si>
    <t>E05008144</t>
  </si>
  <si>
    <t>Bridgnorth East and Astley Abbotts</t>
  </si>
  <si>
    <t>E05008145</t>
  </si>
  <si>
    <t>Bridgnorth West and Tasley</t>
  </si>
  <si>
    <t>E05008146</t>
  </si>
  <si>
    <t>Broseley</t>
  </si>
  <si>
    <t>E05008147</t>
  </si>
  <si>
    <t>Brown Clee</t>
  </si>
  <si>
    <t>E05008148</t>
  </si>
  <si>
    <t>Burnell</t>
  </si>
  <si>
    <t>E05008149</t>
  </si>
  <si>
    <t>Castlefields and Ditherington</t>
  </si>
  <si>
    <t>E05008150</t>
  </si>
  <si>
    <t>Cheswardine</t>
  </si>
  <si>
    <t>E05008151</t>
  </si>
  <si>
    <t>Chirbury and Worthen</t>
  </si>
  <si>
    <t>E05008152</t>
  </si>
  <si>
    <t>Church Stretton and Craven Arms</t>
  </si>
  <si>
    <t>E05008153</t>
  </si>
  <si>
    <t>Clee</t>
  </si>
  <si>
    <t>E05008154</t>
  </si>
  <si>
    <t>Cleobury Mortimer</t>
  </si>
  <si>
    <t>E05008155</t>
  </si>
  <si>
    <t>Clun</t>
  </si>
  <si>
    <t>E05008156</t>
  </si>
  <si>
    <t>Copthorne</t>
  </si>
  <si>
    <t>E05008157</t>
  </si>
  <si>
    <t>Corvedale</t>
  </si>
  <si>
    <t>E05008158</t>
  </si>
  <si>
    <t>Ellesmere Urban</t>
  </si>
  <si>
    <t>E05008159</t>
  </si>
  <si>
    <t>Harlescott</t>
  </si>
  <si>
    <t>E05008160</t>
  </si>
  <si>
    <t>Highley</t>
  </si>
  <si>
    <t>E05008161</t>
  </si>
  <si>
    <t>Hodnet</t>
  </si>
  <si>
    <t>E05008162</t>
  </si>
  <si>
    <t>Llanymynech</t>
  </si>
  <si>
    <t>E05008163</t>
  </si>
  <si>
    <t>Longden</t>
  </si>
  <si>
    <t>E05008164</t>
  </si>
  <si>
    <t>Loton</t>
  </si>
  <si>
    <t>E05008165</t>
  </si>
  <si>
    <t>Ludlow East</t>
  </si>
  <si>
    <t>E05008166</t>
  </si>
  <si>
    <t>Ludlow North</t>
  </si>
  <si>
    <t>E05008167</t>
  </si>
  <si>
    <t>Ludlow South</t>
  </si>
  <si>
    <t>E05008168</t>
  </si>
  <si>
    <t>Market Drayton East</t>
  </si>
  <si>
    <t>E05008169</t>
  </si>
  <si>
    <t>Market Drayton West</t>
  </si>
  <si>
    <t>E05008170</t>
  </si>
  <si>
    <t>Meole</t>
  </si>
  <si>
    <t>E05008171</t>
  </si>
  <si>
    <t>Rea Valley</t>
  </si>
  <si>
    <t>E05008172</t>
  </si>
  <si>
    <t>Monkmoor</t>
  </si>
  <si>
    <t>E05008173</t>
  </si>
  <si>
    <t>Much Wenlock</t>
  </si>
  <si>
    <t>E05008174</t>
  </si>
  <si>
    <t>Oswestry East</t>
  </si>
  <si>
    <t>E05009282</t>
  </si>
  <si>
    <t>Oswestry South</t>
  </si>
  <si>
    <t>E05009283</t>
  </si>
  <si>
    <t>Oswestry West</t>
  </si>
  <si>
    <t>E05009284</t>
  </si>
  <si>
    <t>Porthill</t>
  </si>
  <si>
    <t>E05008178</t>
  </si>
  <si>
    <t>Prees</t>
  </si>
  <si>
    <t>E05008179</t>
  </si>
  <si>
    <t>Quarry and Coton Hill</t>
  </si>
  <si>
    <t>E05008180</t>
  </si>
  <si>
    <t>Radbrook</t>
  </si>
  <si>
    <t>E05008181</t>
  </si>
  <si>
    <t>Ruyton and Baschurch</t>
  </si>
  <si>
    <t>E05009285</t>
  </si>
  <si>
    <t>St Martin's</t>
  </si>
  <si>
    <t>E05008183</t>
  </si>
  <si>
    <t>St Oswald</t>
  </si>
  <si>
    <t>E05009286</t>
  </si>
  <si>
    <t>Gobowen, Selattyn and Weston Rhyn</t>
  </si>
  <si>
    <t>E05009281</t>
  </si>
  <si>
    <t>Severn Valley</t>
  </si>
  <si>
    <t>E05008186</t>
  </si>
  <si>
    <t>Shawbury</t>
  </si>
  <si>
    <t>E05008187</t>
  </si>
  <si>
    <t>Shifnal North</t>
  </si>
  <si>
    <t>E05008188</t>
  </si>
  <si>
    <t>Shifnal South and Cosford</t>
  </si>
  <si>
    <t>E05008189</t>
  </si>
  <si>
    <t>Sundorne</t>
  </si>
  <si>
    <t>E05008190</t>
  </si>
  <si>
    <t>Tern</t>
  </si>
  <si>
    <t>E05008191</t>
  </si>
  <si>
    <t>The Meres</t>
  </si>
  <si>
    <t>E05008192</t>
  </si>
  <si>
    <t>Underdale</t>
  </si>
  <si>
    <t>E05008193</t>
  </si>
  <si>
    <t>Wem</t>
  </si>
  <si>
    <t>E05008194</t>
  </si>
  <si>
    <t>Whitchurch North</t>
  </si>
  <si>
    <t>E05008195</t>
  </si>
  <si>
    <t>Whitchurch South</t>
  </si>
  <si>
    <t>E05008196</t>
  </si>
  <si>
    <t>Whittington</t>
  </si>
  <si>
    <t>E05009287</t>
  </si>
  <si>
    <t>Worfield</t>
  </si>
  <si>
    <t>E05008198</t>
  </si>
  <si>
    <t>Bridgnorth, Wellington and The Wrekin CC (pt)</t>
  </si>
  <si>
    <t>Ludlow and Leominster CC (pt)</t>
  </si>
  <si>
    <t>* as created by The County of Shropshire (Electoral Changes) Order 2009 and</t>
  </si>
  <si>
    <t xml:space="preserve">  as altered by The County of Shropshire (Electoral Changes) Order 2012</t>
  </si>
  <si>
    <t>TELFORD AND WREKIN  *</t>
  </si>
  <si>
    <t>Admaston &amp; Bratton</t>
  </si>
  <si>
    <t>E05009966</t>
  </si>
  <si>
    <t>Apley Castle</t>
  </si>
  <si>
    <t>E05009967</t>
  </si>
  <si>
    <t>Arleston</t>
  </si>
  <si>
    <t>E05009968</t>
  </si>
  <si>
    <t>Brookside</t>
  </si>
  <si>
    <t>E05009969</t>
  </si>
  <si>
    <t>Church Aston &amp; Lilleshall</t>
  </si>
  <si>
    <t>E05009970</t>
  </si>
  <si>
    <t>E05009971</t>
  </si>
  <si>
    <t>Dawley &amp; Aqueduct</t>
  </si>
  <si>
    <t>E05009972</t>
  </si>
  <si>
    <t>Donnington</t>
  </si>
  <si>
    <t>E05009973</t>
  </si>
  <si>
    <t>Dothill</t>
  </si>
  <si>
    <t>E05009974</t>
  </si>
  <si>
    <t>Edgmond &amp; Ercall Magna</t>
  </si>
  <si>
    <t>E05009975</t>
  </si>
  <si>
    <t>Ercall</t>
  </si>
  <si>
    <t>E05009976</t>
  </si>
  <si>
    <t>Hadley &amp; Leegomery</t>
  </si>
  <si>
    <t>E05009977</t>
  </si>
  <si>
    <t>Haygate</t>
  </si>
  <si>
    <t>E05009978</t>
  </si>
  <si>
    <t>Horsehay &amp; Lightmoor</t>
  </si>
  <si>
    <t>E05009979</t>
  </si>
  <si>
    <t>Ironbridge Gorge</t>
  </si>
  <si>
    <t>E05009980</t>
  </si>
  <si>
    <t>Ketley &amp; Overdale</t>
  </si>
  <si>
    <t>E05009981</t>
  </si>
  <si>
    <t>Madeley &amp; Sutton Hill</t>
  </si>
  <si>
    <t>E05009982</t>
  </si>
  <si>
    <t>Malinslee &amp; Dawley Bank</t>
  </si>
  <si>
    <t>E05009983</t>
  </si>
  <si>
    <t>Muxton</t>
  </si>
  <si>
    <t>E05009984</t>
  </si>
  <si>
    <t>Newport North &amp; West</t>
  </si>
  <si>
    <t>E05009985</t>
  </si>
  <si>
    <t>Newport South &amp; East</t>
  </si>
  <si>
    <t>E05009986</t>
  </si>
  <si>
    <t>Oakengates &amp; Ketley Bank</t>
  </si>
  <si>
    <t>E05009987</t>
  </si>
  <si>
    <t>E05009988</t>
  </si>
  <si>
    <t>Priorslee</t>
  </si>
  <si>
    <t>E05009989</t>
  </si>
  <si>
    <t>St Georges</t>
  </si>
  <si>
    <t>E05009990</t>
  </si>
  <si>
    <t>Shawbirch</t>
  </si>
  <si>
    <t>E05009991</t>
  </si>
  <si>
    <t>The Nedge</t>
  </si>
  <si>
    <t>E05009992</t>
  </si>
  <si>
    <t>Woodside</t>
  </si>
  <si>
    <t>E05009993</t>
  </si>
  <si>
    <t>Wrockwardine</t>
  </si>
  <si>
    <t>E05009994</t>
  </si>
  <si>
    <t>Wrockwardine Wood &amp; Trench</t>
  </si>
  <si>
    <t>E05009995</t>
  </si>
  <si>
    <t>* as created by The Telford and Wrekin (Electoral Changes) Order 2014</t>
  </si>
  <si>
    <t>STAFFORDSHIRE  *</t>
  </si>
  <si>
    <t>CITY OF STOKE-ON-TRENT  *</t>
  </si>
  <si>
    <t>CANNOCK CHASE DISTRICT</t>
  </si>
  <si>
    <t>EAST STAFFORDSHIRE BOROUGH</t>
  </si>
  <si>
    <t>LICHFIELD DISTRICT</t>
  </si>
  <si>
    <t>NEWCASTLE-UNDER-LYME BOROUGH</t>
  </si>
  <si>
    <t>SOUTH STAFFORDSHIRE DISTRICT</t>
  </si>
  <si>
    <t>STAFFORD BOROUGH  *</t>
  </si>
  <si>
    <t>STAFFORDSHIRE MOORLANDS DISTRICT</t>
  </si>
  <si>
    <t>TAMWORTH BOROUGH</t>
  </si>
  <si>
    <t>Burton CC</t>
  </si>
  <si>
    <t>East Staffordshire (pt)</t>
  </si>
  <si>
    <t>Cannock Chase CC</t>
  </si>
  <si>
    <t>Lichfield CC</t>
  </si>
  <si>
    <t>Lichfield (pt)</t>
  </si>
  <si>
    <t>Stafford (pt)</t>
  </si>
  <si>
    <t>Newcastle-under-Lyme BC</t>
  </si>
  <si>
    <t>Newcastle-under-Lyme (pt)</t>
  </si>
  <si>
    <t>South Staffordshire CC</t>
  </si>
  <si>
    <t>South Staffordshire (pt)</t>
  </si>
  <si>
    <t>Stafford CC</t>
  </si>
  <si>
    <t>Staffordshire Moorlands CC</t>
  </si>
  <si>
    <t>Stoke-on-Trent North BC</t>
  </si>
  <si>
    <t>Stoke-on-Trent (pt)</t>
  </si>
  <si>
    <t>Stoke-on-Trent South BC</t>
  </si>
  <si>
    <t>Tamworth CC</t>
  </si>
  <si>
    <t>West Staffordshire CC</t>
  </si>
  <si>
    <t>* as created by The Staffordshire (City of Stoke-on-Trent) (Structural and Boundary Changes) Order 1995</t>
  </si>
  <si>
    <t>Abbey Hulton and Townsend</t>
  </si>
  <si>
    <t>E05008714</t>
  </si>
  <si>
    <t>Baddeley, Milton and Norton</t>
  </si>
  <si>
    <t>E05008715</t>
  </si>
  <si>
    <t>Bentilee and Ubberley</t>
  </si>
  <si>
    <t>E05008716</t>
  </si>
  <si>
    <t>Birches Head and Central Forest Park</t>
  </si>
  <si>
    <t>E05008717</t>
  </si>
  <si>
    <t>Blurton East</t>
  </si>
  <si>
    <t>E05008718</t>
  </si>
  <si>
    <t>Blurton West and Newstead</t>
  </si>
  <si>
    <t>E05008719</t>
  </si>
  <si>
    <t>Boothen and Oak Hill</t>
  </si>
  <si>
    <t>E05008720</t>
  </si>
  <si>
    <t>Bradeley and Chell Heath</t>
  </si>
  <si>
    <t>E05008721</t>
  </si>
  <si>
    <t>Broadway and Longton East</t>
  </si>
  <si>
    <t>E05008722</t>
  </si>
  <si>
    <t>Burslem Central</t>
  </si>
  <si>
    <t>E05008723</t>
  </si>
  <si>
    <t>Burslem Park</t>
  </si>
  <si>
    <t>E05008724</t>
  </si>
  <si>
    <t>Dresden and Florence</t>
  </si>
  <si>
    <t>E05008725</t>
  </si>
  <si>
    <t>Eaton Park</t>
  </si>
  <si>
    <t>E05008726</t>
  </si>
  <si>
    <t>Etruria and Hanley</t>
  </si>
  <si>
    <t>E05008727</t>
  </si>
  <si>
    <t>Fenton East</t>
  </si>
  <si>
    <t>E05008728</t>
  </si>
  <si>
    <t>Fenton West and Mount Pleasant</t>
  </si>
  <si>
    <t>E05008729</t>
  </si>
  <si>
    <t>Ford Green and Smallthorne</t>
  </si>
  <si>
    <t>E05008730</t>
  </si>
  <si>
    <t>Goldenhill and Sandyford</t>
  </si>
  <si>
    <t>E05008731</t>
  </si>
  <si>
    <t>Great Chell and Packmoor</t>
  </si>
  <si>
    <t>E05008732</t>
  </si>
  <si>
    <t>Hanford and Trentham</t>
  </si>
  <si>
    <t>E05008733</t>
  </si>
  <si>
    <t>Hanley Park and Shelton</t>
  </si>
  <si>
    <t>E05008734</t>
  </si>
  <si>
    <t>Hartshill and Basford</t>
  </si>
  <si>
    <t>E05008735</t>
  </si>
  <si>
    <t>Hollybush and Longton West</t>
  </si>
  <si>
    <t>E05008736</t>
  </si>
  <si>
    <t>Joiner's Square</t>
  </si>
  <si>
    <t>E05008737</t>
  </si>
  <si>
    <t>Lightwood North and Normacot</t>
  </si>
  <si>
    <t>E05008738</t>
  </si>
  <si>
    <t>Little Chell and Stanfield</t>
  </si>
  <si>
    <t>E05008739</t>
  </si>
  <si>
    <t>Meir Hay</t>
  </si>
  <si>
    <t>E05008740</t>
  </si>
  <si>
    <t>Meir North</t>
  </si>
  <si>
    <t>E05008741</t>
  </si>
  <si>
    <t>Meir Park</t>
  </si>
  <si>
    <t>E05008742</t>
  </si>
  <si>
    <t>Meir South</t>
  </si>
  <si>
    <t>E05008743</t>
  </si>
  <si>
    <t>Moorcroft</t>
  </si>
  <si>
    <t>E05008744</t>
  </si>
  <si>
    <t>Penkhull and Stoke</t>
  </si>
  <si>
    <t>E05008745</t>
  </si>
  <si>
    <t>Sandford Hill</t>
  </si>
  <si>
    <t>E05008746</t>
  </si>
  <si>
    <t>Sneyd Green</t>
  </si>
  <si>
    <t>E05008747</t>
  </si>
  <si>
    <t>Springfields and Trent Vale</t>
  </si>
  <si>
    <t>E05008748</t>
  </si>
  <si>
    <t>Tunstall</t>
  </si>
  <si>
    <t>E05008749</t>
  </si>
  <si>
    <t>Weston Coyney</t>
  </si>
  <si>
    <t>E05008750</t>
  </si>
  <si>
    <t>West Staffordshire CC (pt)</t>
  </si>
  <si>
    <t>* as created by The Stoke-on-Trent (Electoral Changes) Order 2011</t>
  </si>
  <si>
    <t>CANNOCK CHASE DISTRICT  *</t>
  </si>
  <si>
    <t>Brereton and Ravenhill</t>
  </si>
  <si>
    <t>E05006902</t>
  </si>
  <si>
    <t>Cannock East</t>
  </si>
  <si>
    <t>E05006903</t>
  </si>
  <si>
    <t>Cannock North</t>
  </si>
  <si>
    <t>E05006904</t>
  </si>
  <si>
    <t>Cannock South</t>
  </si>
  <si>
    <t>E05006905</t>
  </si>
  <si>
    <t>Cannock West</t>
  </si>
  <si>
    <t>E05006906</t>
  </si>
  <si>
    <t>Etching Hill and The Heath</t>
  </si>
  <si>
    <t>E05006907</t>
  </si>
  <si>
    <t>E05006908</t>
  </si>
  <si>
    <t>Hawks Green</t>
  </si>
  <si>
    <t>E05006909</t>
  </si>
  <si>
    <t>Heath Hayes East and Wimblebury</t>
  </si>
  <si>
    <t>E05006910</t>
  </si>
  <si>
    <t>Hednesford Green Heath</t>
  </si>
  <si>
    <t>E05006911</t>
  </si>
  <si>
    <t>Hednesford North</t>
  </si>
  <si>
    <t>E05006912</t>
  </si>
  <si>
    <t>Hednesford South</t>
  </si>
  <si>
    <t>E05006913</t>
  </si>
  <si>
    <t>Norton Canes</t>
  </si>
  <si>
    <t>E05006914</t>
  </si>
  <si>
    <t>Rawnsley</t>
  </si>
  <si>
    <t>E05006915</t>
  </si>
  <si>
    <t>Western Springs</t>
  </si>
  <si>
    <t>E05006916</t>
  </si>
  <si>
    <t>* as created by The District of Cannock Chase (Electoral Changes) Order 2001</t>
  </si>
  <si>
    <t>EAST STAFFORDSHIRE BOROUGH  *</t>
  </si>
  <si>
    <t>E05006917</t>
  </si>
  <si>
    <t>Anglesey</t>
  </si>
  <si>
    <t>E05006918</t>
  </si>
  <si>
    <t>Bagots</t>
  </si>
  <si>
    <t>E05006919</t>
  </si>
  <si>
    <t>Branston</t>
  </si>
  <si>
    <t>E05006920</t>
  </si>
  <si>
    <t>Brizlincote</t>
  </si>
  <si>
    <t>E05006921</t>
  </si>
  <si>
    <t>Burton</t>
  </si>
  <si>
    <t>E05006922</t>
  </si>
  <si>
    <t>Churnet</t>
  </si>
  <si>
    <t>E05006923</t>
  </si>
  <si>
    <t>Crown</t>
  </si>
  <si>
    <t>E05006924</t>
  </si>
  <si>
    <t>Eton Park</t>
  </si>
  <si>
    <t>E05006925</t>
  </si>
  <si>
    <t>Heath</t>
  </si>
  <si>
    <t>E05006926</t>
  </si>
  <si>
    <t>Horninglow</t>
  </si>
  <si>
    <t>E05006927</t>
  </si>
  <si>
    <t>Needwood</t>
  </si>
  <si>
    <t>E05006928</t>
  </si>
  <si>
    <t>Rolleston on Dove</t>
  </si>
  <si>
    <t>E05006929</t>
  </si>
  <si>
    <t>Shobnall</t>
  </si>
  <si>
    <t>E05006930</t>
  </si>
  <si>
    <t>Stapenhill</t>
  </si>
  <si>
    <t>E05006931</t>
  </si>
  <si>
    <t>Stretton</t>
  </si>
  <si>
    <t>E05006932</t>
  </si>
  <si>
    <t>Town</t>
  </si>
  <si>
    <t>E05006933</t>
  </si>
  <si>
    <t>Tutbury and Outwoods</t>
  </si>
  <si>
    <t>E05006934</t>
  </si>
  <si>
    <t>Weaver</t>
  </si>
  <si>
    <t>E05006935</t>
  </si>
  <si>
    <t>Winshill</t>
  </si>
  <si>
    <t>E05006936</t>
  </si>
  <si>
    <t>Yoxall</t>
  </si>
  <si>
    <t>E05006937</t>
  </si>
  <si>
    <t>Lichfield CC (pt)</t>
  </si>
  <si>
    <t>* as created by The Borough of East Staffordshire (Electoral Changes) Order 2001</t>
  </si>
  <si>
    <t>LICHFIELD DISTRICT  *</t>
  </si>
  <si>
    <t>Alrewas &amp; Fradley</t>
  </si>
  <si>
    <t>E05010651</t>
  </si>
  <si>
    <t>Armitage with Handsacre</t>
  </si>
  <si>
    <t>E05010652</t>
  </si>
  <si>
    <t>Boley Park</t>
  </si>
  <si>
    <t>E05010653</t>
  </si>
  <si>
    <t>Boney Hay &amp; Central</t>
  </si>
  <si>
    <t>E05010654</t>
  </si>
  <si>
    <t>Bourne Vale</t>
  </si>
  <si>
    <t>E05010655</t>
  </si>
  <si>
    <t>Chadsmead</t>
  </si>
  <si>
    <t>E05010656</t>
  </si>
  <si>
    <t>Chase Terrace</t>
  </si>
  <si>
    <t>E05010657</t>
  </si>
  <si>
    <t>Chasetown</t>
  </si>
  <si>
    <t>E05010658</t>
  </si>
  <si>
    <t>Colton &amp; the Ridwares</t>
  </si>
  <si>
    <t>E05010659</t>
  </si>
  <si>
    <t>Curborough</t>
  </si>
  <si>
    <t>E05010660</t>
  </si>
  <si>
    <t>Fazeley</t>
  </si>
  <si>
    <t>E05010661</t>
  </si>
  <si>
    <t>Hammerwich with Wall</t>
  </si>
  <si>
    <t>E05010662</t>
  </si>
  <si>
    <t>Highfield</t>
  </si>
  <si>
    <t>E05010663</t>
  </si>
  <si>
    <t>Leomansley</t>
  </si>
  <si>
    <t>E05010664</t>
  </si>
  <si>
    <t>Little Aston &amp; Stonnall</t>
  </si>
  <si>
    <t>E05010665</t>
  </si>
  <si>
    <t>Longdon</t>
  </si>
  <si>
    <t>E05010666</t>
  </si>
  <si>
    <t>Mease Valley</t>
  </si>
  <si>
    <t>E05010667</t>
  </si>
  <si>
    <t>St John's</t>
  </si>
  <si>
    <t>E05010668</t>
  </si>
  <si>
    <t>Shenstone</t>
  </si>
  <si>
    <t>E05010669</t>
  </si>
  <si>
    <t>Stowe</t>
  </si>
  <si>
    <t>E05010670</t>
  </si>
  <si>
    <t>Summerfield &amp; All Saints</t>
  </si>
  <si>
    <t>E05010671</t>
  </si>
  <si>
    <t>Whittington &amp; Streethay</t>
  </si>
  <si>
    <t>E05010672</t>
  </si>
  <si>
    <t>Tamworth CC (pt)</t>
  </si>
  <si>
    <t>* as created by The Lichfield (Electoral Changes) Order 2015</t>
  </si>
  <si>
    <t>NEWCASTLE-UNDER-LYME BOROUGH  *</t>
  </si>
  <si>
    <t>Audley and Bignall End</t>
  </si>
  <si>
    <t>E05006964</t>
  </si>
  <si>
    <t>Bradwell</t>
  </si>
  <si>
    <t>E05006965</t>
  </si>
  <si>
    <t>Butt Lane</t>
  </si>
  <si>
    <t>E05006966</t>
  </si>
  <si>
    <t>E05006967</t>
  </si>
  <si>
    <t>Clayton</t>
  </si>
  <si>
    <t>E05006968</t>
  </si>
  <si>
    <t>Cross Heath</t>
  </si>
  <si>
    <t>E05006969</t>
  </si>
  <si>
    <t>Halmerend</t>
  </si>
  <si>
    <t>E05006970</t>
  </si>
  <si>
    <t>Holditch</t>
  </si>
  <si>
    <t>E05006971</t>
  </si>
  <si>
    <t>Keele</t>
  </si>
  <si>
    <t>E05006972</t>
  </si>
  <si>
    <t>Kidsgrove</t>
  </si>
  <si>
    <t>E05006973</t>
  </si>
  <si>
    <t>Knutton and Silverdale</t>
  </si>
  <si>
    <t>E05006974</t>
  </si>
  <si>
    <t>Loggerheads and Whitmore</t>
  </si>
  <si>
    <t>E05006975</t>
  </si>
  <si>
    <t>Madeley</t>
  </si>
  <si>
    <t>E05006976</t>
  </si>
  <si>
    <t>May Bank</t>
  </si>
  <si>
    <t>E05006977</t>
  </si>
  <si>
    <t>Newchapel</t>
  </si>
  <si>
    <t>E05006978</t>
  </si>
  <si>
    <t>E05006979</t>
  </si>
  <si>
    <t>Ravenscliffe</t>
  </si>
  <si>
    <t>E05006980</t>
  </si>
  <si>
    <t>Seabridge</t>
  </si>
  <si>
    <t>E05006981</t>
  </si>
  <si>
    <t>Silverdale and Parksite</t>
  </si>
  <si>
    <t>E05006982</t>
  </si>
  <si>
    <t>Talke</t>
  </si>
  <si>
    <t>E05006983</t>
  </si>
  <si>
    <t>Thistleberry</t>
  </si>
  <si>
    <t>E05006984</t>
  </si>
  <si>
    <t>E05006985</t>
  </si>
  <si>
    <t>Westlands</t>
  </si>
  <si>
    <t>E05006986</t>
  </si>
  <si>
    <t>Wolstanton</t>
  </si>
  <si>
    <t>E05006987</t>
  </si>
  <si>
    <t>* as created by The Borough of Newcastle-under-Lyme (Electoral Changes) Order 2001</t>
  </si>
  <si>
    <t>SOUTH STAFFORDSHIRE DISTRICT  *</t>
  </si>
  <si>
    <t>Bilbrook</t>
  </si>
  <si>
    <t>E05006988</t>
  </si>
  <si>
    <t>Brewood and Coven</t>
  </si>
  <si>
    <t>E05006989</t>
  </si>
  <si>
    <t>Cheslyn Hay North and Saredon</t>
  </si>
  <si>
    <t>E05006990</t>
  </si>
  <si>
    <t>Cheslyn Hay South</t>
  </si>
  <si>
    <t>E05006991</t>
  </si>
  <si>
    <t>Codsall North</t>
  </si>
  <si>
    <t>E05006992</t>
  </si>
  <si>
    <t>Codsall South</t>
  </si>
  <si>
    <t>E05006993</t>
  </si>
  <si>
    <t>Essington</t>
  </si>
  <si>
    <t>E05006994</t>
  </si>
  <si>
    <t>Featherstone and Shareshill</t>
  </si>
  <si>
    <t>E05006995</t>
  </si>
  <si>
    <t>Great Wyrley Landywood</t>
  </si>
  <si>
    <t>E05006996</t>
  </si>
  <si>
    <t>Great Wyrley Town</t>
  </si>
  <si>
    <t>E05006997</t>
  </si>
  <si>
    <t>Himley and Swindon</t>
  </si>
  <si>
    <t>E05006998</t>
  </si>
  <si>
    <t>Huntington and Hatherton</t>
  </si>
  <si>
    <t>E05006999</t>
  </si>
  <si>
    <t>Kinver</t>
  </si>
  <si>
    <t>E05007000</t>
  </si>
  <si>
    <t>Pattingham and Patshull</t>
  </si>
  <si>
    <t>E05007001</t>
  </si>
  <si>
    <t>Penkridge North East and Acton Trussell</t>
  </si>
  <si>
    <t>E05007002</t>
  </si>
  <si>
    <t>Penkridge South East</t>
  </si>
  <si>
    <t>E05007003</t>
  </si>
  <si>
    <t>Penkridge West</t>
  </si>
  <si>
    <t>E05007004</t>
  </si>
  <si>
    <t>Perton Dippons</t>
  </si>
  <si>
    <t>E05007005</t>
  </si>
  <si>
    <t>Perton East</t>
  </si>
  <si>
    <t>E05007006</t>
  </si>
  <si>
    <t>Perton Lakeside</t>
  </si>
  <si>
    <t>E05007007</t>
  </si>
  <si>
    <t>Trysull and Seisdon</t>
  </si>
  <si>
    <t>E05007008</t>
  </si>
  <si>
    <t>Wheaton Aston, Bishopswood and Lapley</t>
  </si>
  <si>
    <t>E05007009</t>
  </si>
  <si>
    <t>Wombourne North and Lower Penn</t>
  </si>
  <si>
    <t>E05007010</t>
  </si>
  <si>
    <t>Wombourne South East</t>
  </si>
  <si>
    <t>E05007011</t>
  </si>
  <si>
    <t>Wombourne South West</t>
  </si>
  <si>
    <t>E05007012</t>
  </si>
  <si>
    <t>Stafford CC (pt)</t>
  </si>
  <si>
    <t>* as created by The District of South Staffordshire (Electoral Changes) Order 2001</t>
  </si>
  <si>
    <t>Barlaston</t>
  </si>
  <si>
    <t>E05010479</t>
  </si>
  <si>
    <t>Baswich</t>
  </si>
  <si>
    <t>E05010480</t>
  </si>
  <si>
    <t>Common</t>
  </si>
  <si>
    <t>E05010481</t>
  </si>
  <si>
    <t>Coton</t>
  </si>
  <si>
    <t>E05010482</t>
  </si>
  <si>
    <t>Doxey &amp; Castletown</t>
  </si>
  <si>
    <t>E05010483</t>
  </si>
  <si>
    <t>Eccleshall</t>
  </si>
  <si>
    <t>E05010484</t>
  </si>
  <si>
    <t>Forebridge</t>
  </si>
  <si>
    <t>E05010485</t>
  </si>
  <si>
    <t>Fulford</t>
  </si>
  <si>
    <t>E05010486</t>
  </si>
  <si>
    <t>Gnosall &amp; Woodseaves</t>
  </si>
  <si>
    <t>E05010487</t>
  </si>
  <si>
    <t>Haywood &amp; Hixon</t>
  </si>
  <si>
    <t>E05010488</t>
  </si>
  <si>
    <t>Highfields &amp; Western Downs</t>
  </si>
  <si>
    <t>E05010489</t>
  </si>
  <si>
    <t>Holmcroft</t>
  </si>
  <si>
    <t>E05010490</t>
  </si>
  <si>
    <t>Littleworth</t>
  </si>
  <si>
    <t>E05010491</t>
  </si>
  <si>
    <t>Manor</t>
  </si>
  <si>
    <t>E05010492</t>
  </si>
  <si>
    <t>Milford</t>
  </si>
  <si>
    <t>E05010493</t>
  </si>
  <si>
    <t>Milwich</t>
  </si>
  <si>
    <t>E05010494</t>
  </si>
  <si>
    <t>Penkside</t>
  </si>
  <si>
    <t>E05010495</t>
  </si>
  <si>
    <t>Rowley</t>
  </si>
  <si>
    <t>E05010496</t>
  </si>
  <si>
    <t>St Michael's &amp; Stonefield</t>
  </si>
  <si>
    <t>E05010497</t>
  </si>
  <si>
    <t>Seighford &amp; Church Eaton</t>
  </si>
  <si>
    <t>E05010498</t>
  </si>
  <si>
    <t>Swynnerton &amp; Oulton</t>
  </si>
  <si>
    <t>E05010499</t>
  </si>
  <si>
    <t>Walton</t>
  </si>
  <si>
    <t>E05010500</t>
  </si>
  <si>
    <t>Weeping Cross &amp; Wildwood</t>
  </si>
  <si>
    <t>E05010501</t>
  </si>
  <si>
    <t>* as created by The Stafford (Electoral Changes) Order 2015</t>
  </si>
  <si>
    <t>STAFFORDSHIRE MOORLANDS DISTRICT  *</t>
  </si>
  <si>
    <t>Alton</t>
  </si>
  <si>
    <t>E05007039</t>
  </si>
  <si>
    <t>Bagnall and Stanley</t>
  </si>
  <si>
    <t>E05007040</t>
  </si>
  <si>
    <t>Biddulph East</t>
  </si>
  <si>
    <t>E05007041</t>
  </si>
  <si>
    <t>Biddulph Moor</t>
  </si>
  <si>
    <t>E05007042</t>
  </si>
  <si>
    <t>Biddulph North</t>
  </si>
  <si>
    <t>E05007043</t>
  </si>
  <si>
    <t>Biddulph South</t>
  </si>
  <si>
    <t>E05007044</t>
  </si>
  <si>
    <t>Biddulph West</t>
  </si>
  <si>
    <t>E05007045</t>
  </si>
  <si>
    <t>Brown Edge and Endon</t>
  </si>
  <si>
    <t>E05007046</t>
  </si>
  <si>
    <t>Caverswall</t>
  </si>
  <si>
    <t>E05007047</t>
  </si>
  <si>
    <t>Cellarhead</t>
  </si>
  <si>
    <t>E05007048</t>
  </si>
  <si>
    <t>Cheadle North East</t>
  </si>
  <si>
    <t>E05007049</t>
  </si>
  <si>
    <t>Cheadle South East</t>
  </si>
  <si>
    <t>E05007050</t>
  </si>
  <si>
    <t>Cheadle West</t>
  </si>
  <si>
    <t>E05007051</t>
  </si>
  <si>
    <t>Checkley</t>
  </si>
  <si>
    <t>E05007052</t>
  </si>
  <si>
    <t>Cheddleton</t>
  </si>
  <si>
    <t>E05007053</t>
  </si>
  <si>
    <t>E05007054</t>
  </si>
  <si>
    <t>Dane</t>
  </si>
  <si>
    <t>E05007055</t>
  </si>
  <si>
    <t>Forsbrook</t>
  </si>
  <si>
    <t>E05007056</t>
  </si>
  <si>
    <t>Hamps Valley</t>
  </si>
  <si>
    <t>E05007057</t>
  </si>
  <si>
    <t>Horton</t>
  </si>
  <si>
    <t>E05007058</t>
  </si>
  <si>
    <t>Ipstones</t>
  </si>
  <si>
    <t>E05007059</t>
  </si>
  <si>
    <t>Leek East</t>
  </si>
  <si>
    <t>E05007060</t>
  </si>
  <si>
    <t>Leek North</t>
  </si>
  <si>
    <t>E05007061</t>
  </si>
  <si>
    <t>Leek South</t>
  </si>
  <si>
    <t>E05007062</t>
  </si>
  <si>
    <t>Leek West</t>
  </si>
  <si>
    <t>E05007063</t>
  </si>
  <si>
    <t>Manifold</t>
  </si>
  <si>
    <t>E05007064</t>
  </si>
  <si>
    <t>Werrington</t>
  </si>
  <si>
    <t>E05007065</t>
  </si>
  <si>
    <t>* as created by The District of Staffordshire Moorlands (Electoral Changes) Order 2001</t>
  </si>
  <si>
    <t>TAMWORTH BOROUGH  *</t>
  </si>
  <si>
    <t>Amington</t>
  </si>
  <si>
    <t>E05007066</t>
  </si>
  <si>
    <t>Belgrave</t>
  </si>
  <si>
    <t>E05007067</t>
  </si>
  <si>
    <t>Bolehall</t>
  </si>
  <si>
    <t>E05007068</t>
  </si>
  <si>
    <t>E05007069</t>
  </si>
  <si>
    <t>Glascote</t>
  </si>
  <si>
    <t>E05007070</t>
  </si>
  <si>
    <t>Mercian</t>
  </si>
  <si>
    <t>E05007071</t>
  </si>
  <si>
    <t>Spital</t>
  </si>
  <si>
    <t>E05007072</t>
  </si>
  <si>
    <t>Stonydelph</t>
  </si>
  <si>
    <t>E05007073</t>
  </si>
  <si>
    <t>E05007074</t>
  </si>
  <si>
    <t>Wilnecote</t>
  </si>
  <si>
    <t>E05007075</t>
  </si>
  <si>
    <t>* as created by The Borough of Tamworth (Electoral Changes) Order 2001</t>
  </si>
  <si>
    <t>NORTH WARWICKSHIRE BOROUGH</t>
  </si>
  <si>
    <t>NUNEATON AND BEDWORTH BOROUGH</t>
  </si>
  <si>
    <t>RUGBY BOROUGH</t>
  </si>
  <si>
    <t>STRATFORD ON AVON DISTRICT</t>
  </si>
  <si>
    <t>WARWICK DISTRICT</t>
  </si>
  <si>
    <t>Evesham and South Warwickshire CC</t>
  </si>
  <si>
    <t>Stratford on Avon (pt)</t>
  </si>
  <si>
    <t>Kenilworth and Leamington CC</t>
  </si>
  <si>
    <t>Warwick (pt)</t>
  </si>
  <si>
    <t>North Warwickshire CC</t>
  </si>
  <si>
    <t>Nuneaton and Bedworth (pt)</t>
  </si>
  <si>
    <t>Nuneaton CC</t>
  </si>
  <si>
    <t>Rugby (pt)</t>
  </si>
  <si>
    <t>Rugby and Southam CC</t>
  </si>
  <si>
    <t>Shirley and Solihull South BC</t>
  </si>
  <si>
    <t>Meriden (pt)</t>
  </si>
  <si>
    <t>Warwick and Stratford-on-Avon CC</t>
  </si>
  <si>
    <t>NORTH WARWICKSHIRE BOROUGH  *</t>
  </si>
  <si>
    <t>Arley and Whitacre</t>
  </si>
  <si>
    <t>E05007457</t>
  </si>
  <si>
    <t>Atherstone Central</t>
  </si>
  <si>
    <t>E05007458</t>
  </si>
  <si>
    <t>Atherstone North</t>
  </si>
  <si>
    <t>E05007459</t>
  </si>
  <si>
    <t>Atherstone South and Mancetter</t>
  </si>
  <si>
    <t>E05007460</t>
  </si>
  <si>
    <t>Baddesley and Grendon</t>
  </si>
  <si>
    <t>E05007461</t>
  </si>
  <si>
    <t>Coleshill North</t>
  </si>
  <si>
    <t>E05007462</t>
  </si>
  <si>
    <t>Coleshill South</t>
  </si>
  <si>
    <t>E05007463</t>
  </si>
  <si>
    <t>Curdworth</t>
  </si>
  <si>
    <t>E05007464</t>
  </si>
  <si>
    <t>Dordon</t>
  </si>
  <si>
    <t>E05007465</t>
  </si>
  <si>
    <t>Fillongley</t>
  </si>
  <si>
    <t>E05007466</t>
  </si>
  <si>
    <t>Hartshill</t>
  </si>
  <si>
    <t>E05007467</t>
  </si>
  <si>
    <t>Hurley and Wood End</t>
  </si>
  <si>
    <t>E05007468</t>
  </si>
  <si>
    <t>Kingsbury</t>
  </si>
  <si>
    <t>E05007469</t>
  </si>
  <si>
    <t>Newton Regis and Warton</t>
  </si>
  <si>
    <t>E05007470</t>
  </si>
  <si>
    <t>Polesworth East</t>
  </si>
  <si>
    <t>E05007471</t>
  </si>
  <si>
    <t>Polesworth West</t>
  </si>
  <si>
    <t>E05007472</t>
  </si>
  <si>
    <t>Water Orton</t>
  </si>
  <si>
    <t>E05007473</t>
  </si>
  <si>
    <t>North Warwickshire CC (pt)</t>
  </si>
  <si>
    <t>* as created by The Borough of North Warwickshire (Electoral Changes) Order 2000</t>
  </si>
  <si>
    <t>NUNEATON AND BEDWORTH BOROUGH  *</t>
  </si>
  <si>
    <t>E05007474</t>
  </si>
  <si>
    <t>Arbury</t>
  </si>
  <si>
    <t>E05007475</t>
  </si>
  <si>
    <t>Attleborough</t>
  </si>
  <si>
    <t>E05007476</t>
  </si>
  <si>
    <t>Bar Pool</t>
  </si>
  <si>
    <t>E05007477</t>
  </si>
  <si>
    <t>Bede</t>
  </si>
  <si>
    <t>E05007478</t>
  </si>
  <si>
    <t>Bulkington</t>
  </si>
  <si>
    <t>E05007479</t>
  </si>
  <si>
    <t>Camp Hill</t>
  </si>
  <si>
    <t>E05007480</t>
  </si>
  <si>
    <t>Exhall</t>
  </si>
  <si>
    <t>E05007481</t>
  </si>
  <si>
    <t>Galley Common</t>
  </si>
  <si>
    <t>E05007482</t>
  </si>
  <si>
    <t>E05007483</t>
  </si>
  <si>
    <t>E05007484</t>
  </si>
  <si>
    <t>Poplar</t>
  </si>
  <si>
    <t>E05007485</t>
  </si>
  <si>
    <t>St Nicolas</t>
  </si>
  <si>
    <t>E05007486</t>
  </si>
  <si>
    <t>Slough</t>
  </si>
  <si>
    <t>E05007487</t>
  </si>
  <si>
    <t>Weddington</t>
  </si>
  <si>
    <t>E05007488</t>
  </si>
  <si>
    <t>Wem Brook</t>
  </si>
  <si>
    <t>E05007489</t>
  </si>
  <si>
    <t>Whitestone</t>
  </si>
  <si>
    <t>E05007490</t>
  </si>
  <si>
    <t>Nuneaton CC (pt)</t>
  </si>
  <si>
    <t>* as created by The Borough of Nuneaton and Bedworth (Electoral Changes) Order 2000</t>
  </si>
  <si>
    <t>RUGBY BOROUGH  *</t>
  </si>
  <si>
    <t>Admirals and Cawston</t>
  </si>
  <si>
    <t>E05010758</t>
  </si>
  <si>
    <t>Benn</t>
  </si>
  <si>
    <t>E05008974</t>
  </si>
  <si>
    <t>Bilton</t>
  </si>
  <si>
    <t>E05008975</t>
  </si>
  <si>
    <t>Clifton, Newton and Churchover</t>
  </si>
  <si>
    <t>E05008976</t>
  </si>
  <si>
    <t>Coton and Boughton</t>
  </si>
  <si>
    <t>E05008977</t>
  </si>
  <si>
    <t>Dunsmore</t>
  </si>
  <si>
    <t>E05010759</t>
  </si>
  <si>
    <t>Eastlands</t>
  </si>
  <si>
    <t>E05008986</t>
  </si>
  <si>
    <t>Hillmorton</t>
  </si>
  <si>
    <t>E05008979</t>
  </si>
  <si>
    <t>Leam Valley</t>
  </si>
  <si>
    <t>E05008980</t>
  </si>
  <si>
    <t>New Bilton</t>
  </si>
  <si>
    <t>E05008981</t>
  </si>
  <si>
    <t>Newbold and Brownsover</t>
  </si>
  <si>
    <t>E05008982</t>
  </si>
  <si>
    <t>Paddox</t>
  </si>
  <si>
    <t>E05008983</t>
  </si>
  <si>
    <t>Revel and Binley Woods</t>
  </si>
  <si>
    <t>E05008984</t>
  </si>
  <si>
    <t>Rokeby and Overslade</t>
  </si>
  <si>
    <t>E05008985</t>
  </si>
  <si>
    <t>Wolston and the Lawfords</t>
  </si>
  <si>
    <t>E05010760</t>
  </si>
  <si>
    <t>Wolvey and Shilton</t>
  </si>
  <si>
    <t>E05008988</t>
  </si>
  <si>
    <t>Rugby and Southam CC (pt)</t>
  </si>
  <si>
    <t>* as created by The Rugby (Electoral Changes) Order 2012 and</t>
  </si>
  <si>
    <t xml:space="preserve">  as altered by The Rugby (Electoral Changes) Order 2015</t>
  </si>
  <si>
    <t>STRATFORD ON AVON DISTRICT  *</t>
  </si>
  <si>
    <t>Alcester Town</t>
  </si>
  <si>
    <t>E05010178</t>
  </si>
  <si>
    <t>Alcester &amp; Rural</t>
  </si>
  <si>
    <t>E05010179</t>
  </si>
  <si>
    <t>Avenue</t>
  </si>
  <si>
    <t>E05010180</t>
  </si>
  <si>
    <t>Bidford East</t>
  </si>
  <si>
    <t>E05010181</t>
  </si>
  <si>
    <t>Bidford West &amp; Salford</t>
  </si>
  <si>
    <t>E05010182</t>
  </si>
  <si>
    <t>Bishop's Itchington</t>
  </si>
  <si>
    <t>E05010183</t>
  </si>
  <si>
    <t>Bishopton</t>
  </si>
  <si>
    <t>E05010184</t>
  </si>
  <si>
    <t>Brailes &amp; Compton</t>
  </si>
  <si>
    <t>E05010185</t>
  </si>
  <si>
    <t>Bridgetown</t>
  </si>
  <si>
    <t>E05010186</t>
  </si>
  <si>
    <t>Clopton</t>
  </si>
  <si>
    <t>E05010187</t>
  </si>
  <si>
    <t>Ettington</t>
  </si>
  <si>
    <t>E05010188</t>
  </si>
  <si>
    <t>Guildhall</t>
  </si>
  <si>
    <t>E05010189</t>
  </si>
  <si>
    <t>Harbury</t>
  </si>
  <si>
    <t>E05010190</t>
  </si>
  <si>
    <t>Hathaway</t>
  </si>
  <si>
    <t>E05010191</t>
  </si>
  <si>
    <t>Henley-in-Arden</t>
  </si>
  <si>
    <t>E05010192</t>
  </si>
  <si>
    <t>Kineton</t>
  </si>
  <si>
    <t>E05010193</t>
  </si>
  <si>
    <t>Kinwarton</t>
  </si>
  <si>
    <t>E05010194</t>
  </si>
  <si>
    <t>Long Itchington &amp; Stockton</t>
  </si>
  <si>
    <t>E05010195</t>
  </si>
  <si>
    <t>Napton &amp; Fenny Compton</t>
  </si>
  <si>
    <t>E05010196</t>
  </si>
  <si>
    <t>Quinton</t>
  </si>
  <si>
    <t>E05010197</t>
  </si>
  <si>
    <t>Red Horse</t>
  </si>
  <si>
    <t>E05010198</t>
  </si>
  <si>
    <t>Shipston North</t>
  </si>
  <si>
    <t>E05010199</t>
  </si>
  <si>
    <t>Shipston South</t>
  </si>
  <si>
    <t>E05010200</t>
  </si>
  <si>
    <t>Shottery</t>
  </si>
  <si>
    <t>E05010201</t>
  </si>
  <si>
    <t>Snitterfield</t>
  </si>
  <si>
    <t>E05010202</t>
  </si>
  <si>
    <t>Southam North</t>
  </si>
  <si>
    <t>E05010203</t>
  </si>
  <si>
    <t>Southam South</t>
  </si>
  <si>
    <t>E05010204</t>
  </si>
  <si>
    <t>Studley with Mappleborough Green</t>
  </si>
  <si>
    <t>E05010205</t>
  </si>
  <si>
    <t>Studley with Sambourne</t>
  </si>
  <si>
    <t>E05010206</t>
  </si>
  <si>
    <t>Tanworth-in-Arden</t>
  </si>
  <si>
    <t>E05010207</t>
  </si>
  <si>
    <t>Tiddington</t>
  </si>
  <si>
    <t>E05010208</t>
  </si>
  <si>
    <t>Welcombe</t>
  </si>
  <si>
    <t>E05010209</t>
  </si>
  <si>
    <t>Welford-on-Avon</t>
  </si>
  <si>
    <t>E05010210</t>
  </si>
  <si>
    <t>Wellesbourne East</t>
  </si>
  <si>
    <t>E05010211</t>
  </si>
  <si>
    <t>Wellesbourne West</t>
  </si>
  <si>
    <t>E05010212</t>
  </si>
  <si>
    <t>E05010213</t>
  </si>
  <si>
    <t>Shirley and Solihull South BC (pt)</t>
  </si>
  <si>
    <t>Warwick and Stratford-on-Avon CC (pt)</t>
  </si>
  <si>
    <t>* as created by The Stratford-on-Avon (Electoral Changes) Order 2014</t>
  </si>
  <si>
    <t>WARWICK DISTRICT  *</t>
  </si>
  <si>
    <t>E05009778</t>
  </si>
  <si>
    <t>Arden</t>
  </si>
  <si>
    <t>E05009779</t>
  </si>
  <si>
    <t>Aylesford</t>
  </si>
  <si>
    <t>E05009780</t>
  </si>
  <si>
    <t>Bishop's Tachbrook</t>
  </si>
  <si>
    <t>E05009781</t>
  </si>
  <si>
    <t>Brunswick</t>
  </si>
  <si>
    <t>E05009782</t>
  </si>
  <si>
    <t>Budbrooke</t>
  </si>
  <si>
    <t>E05009783</t>
  </si>
  <si>
    <t>Clarendon</t>
  </si>
  <si>
    <t>E05009784</t>
  </si>
  <si>
    <t>E05009785</t>
  </si>
  <si>
    <t>Emscote</t>
  </si>
  <si>
    <t>E05009786</t>
  </si>
  <si>
    <t>Leam</t>
  </si>
  <si>
    <t>E05009787</t>
  </si>
  <si>
    <t>E05009788</t>
  </si>
  <si>
    <t>Milverton</t>
  </si>
  <si>
    <t>E05009789</t>
  </si>
  <si>
    <t>Myton &amp; Heathcote</t>
  </si>
  <si>
    <t>E05009790</t>
  </si>
  <si>
    <t>Newbold</t>
  </si>
  <si>
    <t>E05009791</t>
  </si>
  <si>
    <t>Park Hill</t>
  </si>
  <si>
    <t>E05009792</t>
  </si>
  <si>
    <t>Radford Semele</t>
  </si>
  <si>
    <t>E05009793</t>
  </si>
  <si>
    <t>E05009794</t>
  </si>
  <si>
    <t>Saltisford</t>
  </si>
  <si>
    <t>E05009795</t>
  </si>
  <si>
    <t>Stoneleigh &amp; Cubbington</t>
  </si>
  <si>
    <t>E05009796</t>
  </si>
  <si>
    <t>Sydenham</t>
  </si>
  <si>
    <t>E05009797</t>
  </si>
  <si>
    <t>Whitnash</t>
  </si>
  <si>
    <t>E05009798</t>
  </si>
  <si>
    <t>Woodloes</t>
  </si>
  <si>
    <t>E05009799</t>
  </si>
  <si>
    <t>* as created by The Warwick (Electoral Changes) Order 2014</t>
  </si>
  <si>
    <t>CITY OF BIRMINGHAM</t>
  </si>
  <si>
    <t>CITY OF COVENTRY</t>
  </si>
  <si>
    <t>DUDLEY BOROUGH</t>
  </si>
  <si>
    <t>SANDWELL BOROUGH</t>
  </si>
  <si>
    <t>SOLIHULL BOROUGH</t>
  </si>
  <si>
    <t>WALSALL BOROUGH</t>
  </si>
  <si>
    <t>CITY OF WOLVERHAMPTON</t>
  </si>
  <si>
    <t>Aldridge, Brownhills and Bloxwich BC</t>
  </si>
  <si>
    <t>Walsall (pt)</t>
  </si>
  <si>
    <t>Birmingham Brandwood BC</t>
  </si>
  <si>
    <t>Birmingham (pt)</t>
  </si>
  <si>
    <t xml:space="preserve">Birmingham Edgbaston BC  </t>
  </si>
  <si>
    <t>Sandwell (pt)</t>
  </si>
  <si>
    <t>Birmingham Erdington and Pheasey BC</t>
  </si>
  <si>
    <t>Birmingham Hodge Hill BC</t>
  </si>
  <si>
    <t>Birmingham Ladywood BC</t>
  </si>
  <si>
    <t xml:space="preserve">Birmingham Northfield BC  </t>
  </si>
  <si>
    <t>Birmingham Perry Barr BC</t>
  </si>
  <si>
    <t>Dudley (pt)</t>
  </si>
  <si>
    <t>Birmingham Yardley BC</t>
  </si>
  <si>
    <t>Chelmsley Wood and Solihull North BC</t>
  </si>
  <si>
    <t>Solihull (pt)</t>
  </si>
  <si>
    <t>Coventry North East BC</t>
  </si>
  <si>
    <t>Coventry (pt)</t>
  </si>
  <si>
    <t>Coventry South East BC</t>
  </si>
  <si>
    <t>Coventry West and Meriden CC</t>
  </si>
  <si>
    <t>Dudley East and Tipton BC</t>
  </si>
  <si>
    <t>Dudley West BC</t>
  </si>
  <si>
    <t>Stourbridge BC</t>
  </si>
  <si>
    <t>Sutton Coldfield BC</t>
  </si>
  <si>
    <t>Walsall Central BC</t>
  </si>
  <si>
    <t>Warley BC</t>
  </si>
  <si>
    <t>Wednesfield and Willenhall BC</t>
  </si>
  <si>
    <t>Wolverhampton (pt)</t>
  </si>
  <si>
    <t>West Bromwich BC</t>
  </si>
  <si>
    <t>Wolverhampton South and Coseley BC</t>
  </si>
  <si>
    <t>Wolverhampton West BC</t>
  </si>
  <si>
    <t>CITY OF BIRMINGHAM  *</t>
  </si>
  <si>
    <t>Acocks Green</t>
  </si>
  <si>
    <t>E05001178</t>
  </si>
  <si>
    <t>Aston</t>
  </si>
  <si>
    <t>E05001179</t>
  </si>
  <si>
    <t>Bartley Green</t>
  </si>
  <si>
    <t>E05001180</t>
  </si>
  <si>
    <t>Billesley</t>
  </si>
  <si>
    <t>E05001181</t>
  </si>
  <si>
    <t>Bordesley Green</t>
  </si>
  <si>
    <t>E05001182</t>
  </si>
  <si>
    <t>Bournville</t>
  </si>
  <si>
    <t>E05001183</t>
  </si>
  <si>
    <t>Brandwood</t>
  </si>
  <si>
    <t>E05001184</t>
  </si>
  <si>
    <t>Edgbaston</t>
  </si>
  <si>
    <t>E05001185</t>
  </si>
  <si>
    <t>Erdington</t>
  </si>
  <si>
    <t>E05001186</t>
  </si>
  <si>
    <t>Hall Green</t>
  </si>
  <si>
    <t>E05001187</t>
  </si>
  <si>
    <t>Handsworth Wood</t>
  </si>
  <si>
    <t>E05001188</t>
  </si>
  <si>
    <t>Harborne</t>
  </si>
  <si>
    <t>E05001189</t>
  </si>
  <si>
    <t>Hodge Hill</t>
  </si>
  <si>
    <t>E05001190</t>
  </si>
  <si>
    <t>Kings Norton</t>
  </si>
  <si>
    <t>E05001191</t>
  </si>
  <si>
    <t>Kingstanding</t>
  </si>
  <si>
    <t>E05001192</t>
  </si>
  <si>
    <t>Ladywood</t>
  </si>
  <si>
    <t>E05001193</t>
  </si>
  <si>
    <t>E05001194</t>
  </si>
  <si>
    <t>Lozells and East Handsworth</t>
  </si>
  <si>
    <t>E05001195</t>
  </si>
  <si>
    <t>Moseley and Kings Heath</t>
  </si>
  <si>
    <t>E05001196</t>
  </si>
  <si>
    <t>Nechells</t>
  </si>
  <si>
    <t>E05001197</t>
  </si>
  <si>
    <t>Northfield</t>
  </si>
  <si>
    <t>E05001198</t>
  </si>
  <si>
    <t>Oscott</t>
  </si>
  <si>
    <t>E05001199</t>
  </si>
  <si>
    <t>Perry Barr</t>
  </si>
  <si>
    <t>E05001200</t>
  </si>
  <si>
    <t>E05001201</t>
  </si>
  <si>
    <t>Selly Oak</t>
  </si>
  <si>
    <t>E05001202</t>
  </si>
  <si>
    <t>Shard End</t>
  </si>
  <si>
    <t>E05001203</t>
  </si>
  <si>
    <t>Sheldon</t>
  </si>
  <si>
    <t>E05001204</t>
  </si>
  <si>
    <t>Soho</t>
  </si>
  <si>
    <t>E05001205</t>
  </si>
  <si>
    <t>South Yardley</t>
  </si>
  <si>
    <t>E05001206</t>
  </si>
  <si>
    <t>Sparkbrook</t>
  </si>
  <si>
    <t>E05001207</t>
  </si>
  <si>
    <t>Springfield</t>
  </si>
  <si>
    <t>E05001208</t>
  </si>
  <si>
    <t>Stechford and Yardley North</t>
  </si>
  <si>
    <t>E05001209</t>
  </si>
  <si>
    <t>Stockland Green</t>
  </si>
  <si>
    <t>E05001210</t>
  </si>
  <si>
    <t>Sutton Four Oaks</t>
  </si>
  <si>
    <t>E05001211</t>
  </si>
  <si>
    <t>Sutton New Hall</t>
  </si>
  <si>
    <t>E05001212</t>
  </si>
  <si>
    <t>Sutton Trinity</t>
  </si>
  <si>
    <t>E05001213</t>
  </si>
  <si>
    <t>Sutton Vesey</t>
  </si>
  <si>
    <t>E05001214</t>
  </si>
  <si>
    <t>Tyburn</t>
  </si>
  <si>
    <t>E05001215</t>
  </si>
  <si>
    <t>Washwood Heath</t>
  </si>
  <si>
    <t>E05001216</t>
  </si>
  <si>
    <t>Weoley</t>
  </si>
  <si>
    <t>E05001217</t>
  </si>
  <si>
    <t>Birmingham Edgbaston BC (pt)</t>
  </si>
  <si>
    <t>Birmingham Erdington and Pheasey BC (pt)</t>
  </si>
  <si>
    <t>Birmingham Ladywood BC (pt)</t>
  </si>
  <si>
    <t>Birmingham Perry Barr BC (pt)</t>
  </si>
  <si>
    <t>Chelmsley Wood and Solihull North BC (pt)</t>
  </si>
  <si>
    <t>* as created by The City of Birmingham (Electoral Changes) Order 2003</t>
  </si>
  <si>
    <t>CITY OF COVENTRY  *</t>
  </si>
  <si>
    <t>Bablake</t>
  </si>
  <si>
    <t>E05001218</t>
  </si>
  <si>
    <t>Binley and Willenhall</t>
  </si>
  <si>
    <t>E05001219</t>
  </si>
  <si>
    <t>Cheylesmore</t>
  </si>
  <si>
    <t>E05001220</t>
  </si>
  <si>
    <t>Earlsdon</t>
  </si>
  <si>
    <t>E05001221</t>
  </si>
  <si>
    <t>Foleshill</t>
  </si>
  <si>
    <t>E05001222</t>
  </si>
  <si>
    <t>Henley</t>
  </si>
  <si>
    <t>E05001223</t>
  </si>
  <si>
    <t>Holbrook</t>
  </si>
  <si>
    <t>E05001224</t>
  </si>
  <si>
    <t>Longford</t>
  </si>
  <si>
    <t>E05001225</t>
  </si>
  <si>
    <t>Lower Stoke</t>
  </si>
  <si>
    <t>E05001226</t>
  </si>
  <si>
    <t>Radford</t>
  </si>
  <si>
    <t>E05001227</t>
  </si>
  <si>
    <t>E05001228</t>
  </si>
  <si>
    <t>Coventry South BC</t>
  </si>
  <si>
    <t>Sherbourne</t>
  </si>
  <si>
    <t>E05001229</t>
  </si>
  <si>
    <t>Upper Stoke</t>
  </si>
  <si>
    <t>E05001230</t>
  </si>
  <si>
    <t>Wainbody</t>
  </si>
  <si>
    <t>E05001231</t>
  </si>
  <si>
    <t>Westwood</t>
  </si>
  <si>
    <t>E05001232</t>
  </si>
  <si>
    <t>Whoberley</t>
  </si>
  <si>
    <t>E05001233</t>
  </si>
  <si>
    <t>Woodlands</t>
  </si>
  <si>
    <t>E05001234</t>
  </si>
  <si>
    <t>Wyken</t>
  </si>
  <si>
    <t>E05001235</t>
  </si>
  <si>
    <t>Coventry West and Meriden CC (pt)</t>
  </si>
  <si>
    <t>* as created by The City of Coventry (Electoral Changes) Order 2003</t>
  </si>
  <si>
    <t>DUDLEY BOROUGH  *</t>
  </si>
  <si>
    <t>Amblecote</t>
  </si>
  <si>
    <t>E05001236</t>
  </si>
  <si>
    <t>Belle Vale</t>
  </si>
  <si>
    <t>E05001237</t>
  </si>
  <si>
    <t>Brierley Hill</t>
  </si>
  <si>
    <t>E05001238</t>
  </si>
  <si>
    <t>Brockmoor and Pensnett</t>
  </si>
  <si>
    <t>E05001239</t>
  </si>
  <si>
    <t>Castle and Priory</t>
  </si>
  <si>
    <t>E05001240</t>
  </si>
  <si>
    <t>Coseley East</t>
  </si>
  <si>
    <t>E05001241</t>
  </si>
  <si>
    <t>Cradley and Wollescote</t>
  </si>
  <si>
    <t>E05001242</t>
  </si>
  <si>
    <t>Gornal</t>
  </si>
  <si>
    <t>E05001243</t>
  </si>
  <si>
    <t>Halesowen North</t>
  </si>
  <si>
    <t>E05001244</t>
  </si>
  <si>
    <t>Halesowen South</t>
  </si>
  <si>
    <t>E05001245</t>
  </si>
  <si>
    <t>Hayley Green and Cradley South</t>
  </si>
  <si>
    <t>E05001246</t>
  </si>
  <si>
    <t>Kingswinford North and Wall Heath</t>
  </si>
  <si>
    <t>E05001247</t>
  </si>
  <si>
    <t>Kingswinford South</t>
  </si>
  <si>
    <t>E05001248</t>
  </si>
  <si>
    <t>Lye and Stourbridge North</t>
  </si>
  <si>
    <t>E05001249</t>
  </si>
  <si>
    <t>Netherton, Woodside and St Andrews</t>
  </si>
  <si>
    <t>E05001250</t>
  </si>
  <si>
    <t>Norton</t>
  </si>
  <si>
    <t>E05001251</t>
  </si>
  <si>
    <t>Pedmore and Stourbridge East</t>
  </si>
  <si>
    <t>E05001252</t>
  </si>
  <si>
    <t>Quarry Bank and Dudley Wood</t>
  </si>
  <si>
    <t>E05001253</t>
  </si>
  <si>
    <t>St James's</t>
  </si>
  <si>
    <t>E05001254</t>
  </si>
  <si>
    <t>St Thomas's</t>
  </si>
  <si>
    <t>E05001255</t>
  </si>
  <si>
    <t>Sedgley</t>
  </si>
  <si>
    <t>E05001256</t>
  </si>
  <si>
    <t>Upper Gornal and Woodsetton</t>
  </si>
  <si>
    <t>E05001257</t>
  </si>
  <si>
    <t>Wollaston and Stourbridge Town</t>
  </si>
  <si>
    <t>E05001258</t>
  </si>
  <si>
    <t>Wordsley</t>
  </si>
  <si>
    <t>E05001259</t>
  </si>
  <si>
    <t>Dudley East and Tipton BC (pt)</t>
  </si>
  <si>
    <t>Wolverhampton South and Coseley BC (pt)</t>
  </si>
  <si>
    <t>* as created by The Borough of Dudley (Electoral Changes) Order 2003</t>
  </si>
  <si>
    <t>SANDWELL BOROUGH  *</t>
  </si>
  <si>
    <t>E05001260</t>
  </si>
  <si>
    <t>Blackheath</t>
  </si>
  <si>
    <t>E05001261</t>
  </si>
  <si>
    <t>Bristnall</t>
  </si>
  <si>
    <t>E05001262</t>
  </si>
  <si>
    <t>Charlemont with Grove Vale</t>
  </si>
  <si>
    <t>E05001263</t>
  </si>
  <si>
    <t>Cradley Heath and Old Hill</t>
  </si>
  <si>
    <t>E05001264</t>
  </si>
  <si>
    <t>Friar Park</t>
  </si>
  <si>
    <t>E05001265</t>
  </si>
  <si>
    <t>Great Barr with Yew Tree</t>
  </si>
  <si>
    <t>E05001266</t>
  </si>
  <si>
    <t>Great Bridge</t>
  </si>
  <si>
    <t>E05001267</t>
  </si>
  <si>
    <t>Greets Green and Lyng</t>
  </si>
  <si>
    <t>E05001268</t>
  </si>
  <si>
    <t>Hateley Heath</t>
  </si>
  <si>
    <t>E05001269</t>
  </si>
  <si>
    <t>Langley</t>
  </si>
  <si>
    <t>E05001270</t>
  </si>
  <si>
    <t>Newton</t>
  </si>
  <si>
    <t>E05001271</t>
  </si>
  <si>
    <t>Old Warley</t>
  </si>
  <si>
    <t>E05001272</t>
  </si>
  <si>
    <t>Oldbury</t>
  </si>
  <si>
    <t>E05001273</t>
  </si>
  <si>
    <t>Princes End</t>
  </si>
  <si>
    <t>E05001274</t>
  </si>
  <si>
    <t>E05001275</t>
  </si>
  <si>
    <t>St Pauls</t>
  </si>
  <si>
    <t>E05001276</t>
  </si>
  <si>
    <t>Smethwick</t>
  </si>
  <si>
    <t>E05001277</t>
  </si>
  <si>
    <t>Soho and Victoria</t>
  </si>
  <si>
    <t>E05001278</t>
  </si>
  <si>
    <t>Tipton Green</t>
  </si>
  <si>
    <t>E05001279</t>
  </si>
  <si>
    <t>Tividale</t>
  </si>
  <si>
    <t>E05001280</t>
  </si>
  <si>
    <t>Wednesbury North</t>
  </si>
  <si>
    <t>E05001281</t>
  </si>
  <si>
    <t>Wednesbury South</t>
  </si>
  <si>
    <t>E05001282</t>
  </si>
  <si>
    <t>West Bromwich Central</t>
  </si>
  <si>
    <t>E05001283</t>
  </si>
  <si>
    <t>* as created by The Borough of Sandwell (Electoral Changes) Order 2003</t>
  </si>
  <si>
    <t>SOLIHULL BOROUGH  *</t>
  </si>
  <si>
    <t>Bickenhill</t>
  </si>
  <si>
    <t>E05001284</t>
  </si>
  <si>
    <t>Blythe</t>
  </si>
  <si>
    <t>E05001285</t>
  </si>
  <si>
    <t>Castle Bromwich</t>
  </si>
  <si>
    <t>E05001286</t>
  </si>
  <si>
    <t>Chelmsley Wood</t>
  </si>
  <si>
    <t>E05001287</t>
  </si>
  <si>
    <t>Dorridge and Hockley Heath</t>
  </si>
  <si>
    <t>E05001288</t>
  </si>
  <si>
    <t>Elmdon</t>
  </si>
  <si>
    <t>E05001289</t>
  </si>
  <si>
    <t>Kingshurst and Fordbridge</t>
  </si>
  <si>
    <t>E05001290</t>
  </si>
  <si>
    <t>E05001291</t>
  </si>
  <si>
    <t>Lyndon</t>
  </si>
  <si>
    <t>E05001292</t>
  </si>
  <si>
    <t>Meriden</t>
  </si>
  <si>
    <t>E05001293</t>
  </si>
  <si>
    <t>Olton</t>
  </si>
  <si>
    <t>E05001294</t>
  </si>
  <si>
    <t>St Alphege</t>
  </si>
  <si>
    <t>E05001295</t>
  </si>
  <si>
    <t>Shirley East</t>
  </si>
  <si>
    <t>E05001296</t>
  </si>
  <si>
    <t>Shirley South</t>
  </si>
  <si>
    <t>E05001297</t>
  </si>
  <si>
    <t>Shirley West</t>
  </si>
  <si>
    <t>E05001298</t>
  </si>
  <si>
    <t>Silhill</t>
  </si>
  <si>
    <t>E05001299</t>
  </si>
  <si>
    <t>Smith's Wood</t>
  </si>
  <si>
    <t>E05001300</t>
  </si>
  <si>
    <t>* as created by The Borough of Solihull (Electoral Changes) Order 2003</t>
  </si>
  <si>
    <t>WALSALL BOROUGH  *</t>
  </si>
  <si>
    <t>Aldridge Central and South</t>
  </si>
  <si>
    <t>E05001301</t>
  </si>
  <si>
    <t>Aldridge North and Walsall Wood</t>
  </si>
  <si>
    <t>E05001302</t>
  </si>
  <si>
    <t>Bentley and Darlaston North</t>
  </si>
  <si>
    <t>E05001303</t>
  </si>
  <si>
    <t>Birchills Leamore</t>
  </si>
  <si>
    <t>E05001304</t>
  </si>
  <si>
    <t>Blakenall</t>
  </si>
  <si>
    <t>E05001305</t>
  </si>
  <si>
    <t>Bloxwich East</t>
  </si>
  <si>
    <t>E05001306</t>
  </si>
  <si>
    <t>Bloxwich West</t>
  </si>
  <si>
    <t>E05001307</t>
  </si>
  <si>
    <t>Brownhills</t>
  </si>
  <si>
    <t>E05001308</t>
  </si>
  <si>
    <t>Darlaston South</t>
  </si>
  <si>
    <t>E05001309</t>
  </si>
  <si>
    <t>Paddock</t>
  </si>
  <si>
    <t>E05001310</t>
  </si>
  <si>
    <t>Palfrey</t>
  </si>
  <si>
    <t>E05001311</t>
  </si>
  <si>
    <t>Pelsall</t>
  </si>
  <si>
    <t>E05001312</t>
  </si>
  <si>
    <t>Pheasey Park Farm</t>
  </si>
  <si>
    <t>E05001313</t>
  </si>
  <si>
    <t>Pleck</t>
  </si>
  <si>
    <t>E05001314</t>
  </si>
  <si>
    <t>Rushall-Shelfield</t>
  </si>
  <si>
    <t>E05001315</t>
  </si>
  <si>
    <t>St Matthew's</t>
  </si>
  <si>
    <t>E05001316</t>
  </si>
  <si>
    <t>Short Heath</t>
  </si>
  <si>
    <t>E05001317</t>
  </si>
  <si>
    <t>Streetly</t>
  </si>
  <si>
    <t>E05001318</t>
  </si>
  <si>
    <t>Willenhall North</t>
  </si>
  <si>
    <t>E05001319</t>
  </si>
  <si>
    <t>Willenhall South</t>
  </si>
  <si>
    <t>E05001320</t>
  </si>
  <si>
    <t>Wednesfield and Willenhall BC (pt)</t>
  </si>
  <si>
    <t>* as created by The Borough of Walsall (Electoral Changes) Order 2003</t>
  </si>
  <si>
    <t>CITY OF WOLVERHAMPTON  *</t>
  </si>
  <si>
    <t>Bilston East</t>
  </si>
  <si>
    <t>E05001321</t>
  </si>
  <si>
    <t>Bilston North</t>
  </si>
  <si>
    <t>E05001322</t>
  </si>
  <si>
    <t>Blakenhall</t>
  </si>
  <si>
    <t>E05001323</t>
  </si>
  <si>
    <t>Bushbury North</t>
  </si>
  <si>
    <t>E05001324</t>
  </si>
  <si>
    <t>Bushbury South and Low Hill</t>
  </si>
  <si>
    <t>E05001325</t>
  </si>
  <si>
    <t>East Park</t>
  </si>
  <si>
    <t>E05001326</t>
  </si>
  <si>
    <t>Ettingshall</t>
  </si>
  <si>
    <t>E05001327</t>
  </si>
  <si>
    <t>Fallings Park</t>
  </si>
  <si>
    <t>E05001328</t>
  </si>
  <si>
    <t>Graiseley</t>
  </si>
  <si>
    <t>E05001329</t>
  </si>
  <si>
    <t>Heath Town</t>
  </si>
  <si>
    <t>E05001330</t>
  </si>
  <si>
    <t>Merry Hill</t>
  </si>
  <si>
    <t>E05001331</t>
  </si>
  <si>
    <t>Oxley</t>
  </si>
  <si>
    <t>E05001332</t>
  </si>
  <si>
    <t>E05001333</t>
  </si>
  <si>
    <t>Penn</t>
  </si>
  <si>
    <t>E05001334</t>
  </si>
  <si>
    <t>E05001335</t>
  </si>
  <si>
    <t>Spring Vale</t>
  </si>
  <si>
    <t>E05001336</t>
  </si>
  <si>
    <t>Tettenhall Regis</t>
  </si>
  <si>
    <t>E05001337</t>
  </si>
  <si>
    <t>Tettenhall Wightwick</t>
  </si>
  <si>
    <t>E05001338</t>
  </si>
  <si>
    <t>Wednesfield North</t>
  </si>
  <si>
    <t>E05001339</t>
  </si>
  <si>
    <t>Wednesfield South</t>
  </si>
  <si>
    <t>E05001340</t>
  </si>
  <si>
    <t>* as created by The City of Wolverhampton (Electoral Changes) Order 2003</t>
  </si>
  <si>
    <t>WORCESTERSHIRE  *</t>
  </si>
  <si>
    <t>BROMSGROVE DISTRICT</t>
  </si>
  <si>
    <t>MALVERN HILLS DISTRICT</t>
  </si>
  <si>
    <t>REDDITCH BOROUGH</t>
  </si>
  <si>
    <t>CITY OF WORCESTER</t>
  </si>
  <si>
    <t>WYCHAVON DISTRICT</t>
  </si>
  <si>
    <t>WYRE FOREST DISTRICT</t>
  </si>
  <si>
    <t>Bromsgrove and Droitwich CC</t>
  </si>
  <si>
    <t>Bromsgrove (pt)</t>
  </si>
  <si>
    <t>Redditch CC</t>
  </si>
  <si>
    <t>Worcester BC</t>
  </si>
  <si>
    <t>Wyre Forest CC</t>
  </si>
  <si>
    <t>* as created by The Hereford and Worcester (Structural, Boundary and Electoral Changes) Order 1996</t>
  </si>
  <si>
    <t>BROMSGROVE DISTRICT  *</t>
  </si>
  <si>
    <t>Alvechurch South</t>
  </si>
  <si>
    <t>E05009823</t>
  </si>
  <si>
    <t>Alvechurch Village</t>
  </si>
  <si>
    <t>E05009824</t>
  </si>
  <si>
    <t>Aston Fields</t>
  </si>
  <si>
    <t>E05009825</t>
  </si>
  <si>
    <t>Avoncroft</t>
  </si>
  <si>
    <t>E05009826</t>
  </si>
  <si>
    <t>Barnt Green &amp; Hopwood</t>
  </si>
  <si>
    <t>E05009827</t>
  </si>
  <si>
    <t>Belbroughton &amp; Romsley</t>
  </si>
  <si>
    <t>E05009828</t>
  </si>
  <si>
    <t>Bromsgrove Central</t>
  </si>
  <si>
    <t>E05009829</t>
  </si>
  <si>
    <t>Catshill North</t>
  </si>
  <si>
    <t>E05009830</t>
  </si>
  <si>
    <t>Catshill South</t>
  </si>
  <si>
    <t>E05009831</t>
  </si>
  <si>
    <t>Charford</t>
  </si>
  <si>
    <t>E05009832</t>
  </si>
  <si>
    <t>Cofton</t>
  </si>
  <si>
    <t>E05009833</t>
  </si>
  <si>
    <t>Drakes Cross</t>
  </si>
  <si>
    <t>E05009834</t>
  </si>
  <si>
    <t>Hagley East</t>
  </si>
  <si>
    <t>E05009835</t>
  </si>
  <si>
    <t>Hagley West</t>
  </si>
  <si>
    <t>E05009836</t>
  </si>
  <si>
    <t>Hill Top</t>
  </si>
  <si>
    <t>E05009837</t>
  </si>
  <si>
    <t>Hollywood</t>
  </si>
  <si>
    <t>E05009838</t>
  </si>
  <si>
    <t>Lickey Hills</t>
  </si>
  <si>
    <t>E05009839</t>
  </si>
  <si>
    <t>Lowes Hill</t>
  </si>
  <si>
    <t>E05009840</t>
  </si>
  <si>
    <t>Marlbrook</t>
  </si>
  <si>
    <t>E05009841</t>
  </si>
  <si>
    <t>E05009842</t>
  </si>
  <si>
    <t>Perryfields</t>
  </si>
  <si>
    <t>E05009843</t>
  </si>
  <si>
    <t>Rock Hill</t>
  </si>
  <si>
    <t>E05009844</t>
  </si>
  <si>
    <t>Rubery North</t>
  </si>
  <si>
    <t>E05009845</t>
  </si>
  <si>
    <t>Rubery South</t>
  </si>
  <si>
    <t>E05009846</t>
  </si>
  <si>
    <t>Sanders Park</t>
  </si>
  <si>
    <t>E05009847</t>
  </si>
  <si>
    <t>Sidemoor</t>
  </si>
  <si>
    <t>E05009848</t>
  </si>
  <si>
    <t>Slideslow</t>
  </si>
  <si>
    <t>E05009849</t>
  </si>
  <si>
    <t>Tardebigge</t>
  </si>
  <si>
    <t>E05009850</t>
  </si>
  <si>
    <t>Wythall East</t>
  </si>
  <si>
    <t>E05009851</t>
  </si>
  <si>
    <t>Wythall West</t>
  </si>
  <si>
    <t>E05009852</t>
  </si>
  <si>
    <t>Bromsgrove and Droitwich CC (pt)</t>
  </si>
  <si>
    <t>Redditch CC (pt)</t>
  </si>
  <si>
    <t>* as created by The Bromsgrove (Electoral Changes) Order 2014</t>
  </si>
  <si>
    <t>MALVERN HILLS DISTRICT *</t>
  </si>
  <si>
    <t>Alfrick and Leigh</t>
  </si>
  <si>
    <t>E05007846</t>
  </si>
  <si>
    <t>Baldwin</t>
  </si>
  <si>
    <t>E05007847</t>
  </si>
  <si>
    <t>E05007848</t>
  </si>
  <si>
    <t>Chase</t>
  </si>
  <si>
    <t>E05007849</t>
  </si>
  <si>
    <t>Dyson Perrins</t>
  </si>
  <si>
    <t>E05007850</t>
  </si>
  <si>
    <t>Hallow</t>
  </si>
  <si>
    <t>E05007851</t>
  </si>
  <si>
    <t>Kempsey</t>
  </si>
  <si>
    <t>E05007852</t>
  </si>
  <si>
    <t>Lindridge</t>
  </si>
  <si>
    <t>E05007853</t>
  </si>
  <si>
    <t>Link</t>
  </si>
  <si>
    <t>E05007854</t>
  </si>
  <si>
    <t>E05007855</t>
  </si>
  <si>
    <t>Martley</t>
  </si>
  <si>
    <t>E05007856</t>
  </si>
  <si>
    <t>Morton</t>
  </si>
  <si>
    <t>E05007857</t>
  </si>
  <si>
    <t>Pickersleigh</t>
  </si>
  <si>
    <t>E05007858</t>
  </si>
  <si>
    <t>Powick</t>
  </si>
  <si>
    <t>E05007859</t>
  </si>
  <si>
    <t>E05007860</t>
  </si>
  <si>
    <t>Ripple</t>
  </si>
  <si>
    <t>E05007861</t>
  </si>
  <si>
    <t>Teme Valley</t>
  </si>
  <si>
    <t>E05007862</t>
  </si>
  <si>
    <t>Tenbury</t>
  </si>
  <si>
    <t>E05007863</t>
  </si>
  <si>
    <t>Upton and Hanley</t>
  </si>
  <si>
    <t>E05007864</t>
  </si>
  <si>
    <t>Wells</t>
  </si>
  <si>
    <t>E05007865</t>
  </si>
  <si>
    <t>West</t>
  </si>
  <si>
    <t>E05007866</t>
  </si>
  <si>
    <t>Woodbury</t>
  </si>
  <si>
    <t>E05007867</t>
  </si>
  <si>
    <t>Malvern and Ledbury CC (pt)</t>
  </si>
  <si>
    <t>* as created by The Malvern Hills (Electoral Changes) Order 2002</t>
  </si>
  <si>
    <t>REDDITCH BOROUGH  *</t>
  </si>
  <si>
    <t>E05007868</t>
  </si>
  <si>
    <t>Astwood Bank and Feckenham</t>
  </si>
  <si>
    <t>E05007869</t>
  </si>
  <si>
    <t>Batchley &amp; Brockhill</t>
  </si>
  <si>
    <t>E05007870</t>
  </si>
  <si>
    <t>E05007871</t>
  </si>
  <si>
    <t>Church Hill</t>
  </si>
  <si>
    <t>E05007872</t>
  </si>
  <si>
    <t>Crabbs Cross</t>
  </si>
  <si>
    <t>E05007873</t>
  </si>
  <si>
    <t>Greenlands</t>
  </si>
  <si>
    <t>E05007874</t>
  </si>
  <si>
    <t>Headless Cross and Oakenshaw</t>
  </si>
  <si>
    <t>E05007875</t>
  </si>
  <si>
    <t>Lodge Park</t>
  </si>
  <si>
    <t>E05007876</t>
  </si>
  <si>
    <t>Matchborough</t>
  </si>
  <si>
    <t>E05007877</t>
  </si>
  <si>
    <t>E05007878</t>
  </si>
  <si>
    <t>Winyates</t>
  </si>
  <si>
    <t>E05007879</t>
  </si>
  <si>
    <t xml:space="preserve">*as created by The Borough of Redditch (Electoral Changes) Order 2002 </t>
  </si>
  <si>
    <t>CITY OF WORCESTER  *</t>
  </si>
  <si>
    <t>Arboretum</t>
  </si>
  <si>
    <t>E05007880</t>
  </si>
  <si>
    <t>Battenhall</t>
  </si>
  <si>
    <t>E05007881</t>
  </si>
  <si>
    <t>Bedwardine</t>
  </si>
  <si>
    <t>E05007882</t>
  </si>
  <si>
    <t>Cathedral</t>
  </si>
  <si>
    <t>E05007883</t>
  </si>
  <si>
    <t>Claines</t>
  </si>
  <si>
    <t>E05007884</t>
  </si>
  <si>
    <t>Gorse Hill</t>
  </si>
  <si>
    <t>E05007885</t>
  </si>
  <si>
    <t>Nunnery</t>
  </si>
  <si>
    <t>E05007886</t>
  </si>
  <si>
    <t>Rainbow Hill</t>
  </si>
  <si>
    <t>E05007887</t>
  </si>
  <si>
    <t>St Clement</t>
  </si>
  <si>
    <t>E05007888</t>
  </si>
  <si>
    <t>St John</t>
  </si>
  <si>
    <t>E05007889</t>
  </si>
  <si>
    <t>St Peter's Parish</t>
  </si>
  <si>
    <t>E05007890</t>
  </si>
  <si>
    <t>St Stephen</t>
  </si>
  <si>
    <t>E05007891</t>
  </si>
  <si>
    <t>Warndon</t>
  </si>
  <si>
    <t>E05007892</t>
  </si>
  <si>
    <t>Warndon Parish North</t>
  </si>
  <si>
    <t>E05007893</t>
  </si>
  <si>
    <t>Warndon Parish South</t>
  </si>
  <si>
    <t>E05007894</t>
  </si>
  <si>
    <t>Worcester BC (pt)</t>
  </si>
  <si>
    <t>* as created by The City of Worcester (Electoral Changes) Order 2002</t>
  </si>
  <si>
    <t>WYCHAVON DISTRICT  *</t>
  </si>
  <si>
    <t>Badsey</t>
  </si>
  <si>
    <t>E05007895</t>
  </si>
  <si>
    <t>Bengeworth</t>
  </si>
  <si>
    <t>E05007896</t>
  </si>
  <si>
    <t>E05007897</t>
  </si>
  <si>
    <t>Bredon</t>
  </si>
  <si>
    <t>E05007898</t>
  </si>
  <si>
    <t>Bretforton and Offenham</t>
  </si>
  <si>
    <t>E05007899</t>
  </si>
  <si>
    <t>Broadway and Wickhamford</t>
  </si>
  <si>
    <t>E05007900</t>
  </si>
  <si>
    <t>Dodderhill</t>
  </si>
  <si>
    <t>E05007901</t>
  </si>
  <si>
    <t>Drakes Broughton</t>
  </si>
  <si>
    <t>E05007902</t>
  </si>
  <si>
    <t>Droitwich Central</t>
  </si>
  <si>
    <t>E05007903</t>
  </si>
  <si>
    <t>Droitwich East</t>
  </si>
  <si>
    <t>E05007904</t>
  </si>
  <si>
    <t>Droitwich South East</t>
  </si>
  <si>
    <t>E05007905</t>
  </si>
  <si>
    <t>Droitwich South West</t>
  </si>
  <si>
    <t>E05007906</t>
  </si>
  <si>
    <t>Droitwich West</t>
  </si>
  <si>
    <t>E05007907</t>
  </si>
  <si>
    <t>Eckington</t>
  </si>
  <si>
    <t>E05007908</t>
  </si>
  <si>
    <t>Elmley Castle and Somerville</t>
  </si>
  <si>
    <t>E05007909</t>
  </si>
  <si>
    <t>Evesham North</t>
  </si>
  <si>
    <t>E05007910</t>
  </si>
  <si>
    <t>Evesham South</t>
  </si>
  <si>
    <t>E05007911</t>
  </si>
  <si>
    <t>Fladbury</t>
  </si>
  <si>
    <t>E05007912</t>
  </si>
  <si>
    <t>Great Hampton</t>
  </si>
  <si>
    <t>E05007913</t>
  </si>
  <si>
    <t>Hartlebury</t>
  </si>
  <si>
    <t>E05007914</t>
  </si>
  <si>
    <t>Harvington and Norton</t>
  </si>
  <si>
    <t>E05007915</t>
  </si>
  <si>
    <t>Honeybourne and Pebworth</t>
  </si>
  <si>
    <t>E05007916</t>
  </si>
  <si>
    <t>Inkberrow</t>
  </si>
  <si>
    <t>E05007917</t>
  </si>
  <si>
    <t>Little Hampton</t>
  </si>
  <si>
    <t>E05007918</t>
  </si>
  <si>
    <t>Lovett and North Claines</t>
  </si>
  <si>
    <t>E05007919</t>
  </si>
  <si>
    <t>Norton and Whittington</t>
  </si>
  <si>
    <t>E05007920</t>
  </si>
  <si>
    <t>Ombersley</t>
  </si>
  <si>
    <t>E05007921</t>
  </si>
  <si>
    <t>Pershore</t>
  </si>
  <si>
    <t>E05007922</t>
  </si>
  <si>
    <t>Pinvin</t>
  </si>
  <si>
    <t>E05007923</t>
  </si>
  <si>
    <t>South Bredon Hill</t>
  </si>
  <si>
    <t>E05007924</t>
  </si>
  <si>
    <t>The Littletons</t>
  </si>
  <si>
    <t>E05007925</t>
  </si>
  <si>
    <t>Upton Snodsbury</t>
  </si>
  <si>
    <t>E05007926</t>
  </si>
  <si>
    <t>Wyre Forest CC (pt)</t>
  </si>
  <si>
    <t>* as created by The District of Wychavon (Electoral Changes) Order 2002</t>
  </si>
  <si>
    <t>WYRE FOREST DISTRICT  *</t>
  </si>
  <si>
    <t>Aggborough &amp; Spennells</t>
  </si>
  <si>
    <t>E05010502</t>
  </si>
  <si>
    <t>Areley Kings &amp; Riverside</t>
  </si>
  <si>
    <t>E05010503</t>
  </si>
  <si>
    <t>Bewdley &amp; Rock</t>
  </si>
  <si>
    <t>E05010504</t>
  </si>
  <si>
    <t>Blakebrook &amp; Habberley South</t>
  </si>
  <si>
    <t>E05010505</t>
  </si>
  <si>
    <t>Broadwaters</t>
  </si>
  <si>
    <t>E05010506</t>
  </si>
  <si>
    <t>Foley Park &amp; Hoobrook</t>
  </si>
  <si>
    <t>E05010507</t>
  </si>
  <si>
    <t>Franche &amp; Habberley North</t>
  </si>
  <si>
    <t>E05010508</t>
  </si>
  <si>
    <t>Lickhill</t>
  </si>
  <si>
    <t>E05010509</t>
  </si>
  <si>
    <t>Mitton</t>
  </si>
  <si>
    <t>E05010510</t>
  </si>
  <si>
    <t>Offmore &amp; Comberton</t>
  </si>
  <si>
    <t>E05010511</t>
  </si>
  <si>
    <t>Wribbenhall &amp; Arley</t>
  </si>
  <si>
    <t>E05010512</t>
  </si>
  <si>
    <t>Wyre Forest Rural</t>
  </si>
  <si>
    <t>E05010513</t>
  </si>
  <si>
    <t>* as created by The Wyre Forest (Electoral Changes) Order 2015</t>
  </si>
  <si>
    <t>CONSTITUENCY ELECTORATE TABLE</t>
  </si>
  <si>
    <t>Weston-super-Mare Hillside</t>
  </si>
  <si>
    <t>Wotton Wawen</t>
  </si>
  <si>
    <t>Newton &amp; Yealmpton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</si>
  <si>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</si>
  <si>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</si>
  <si>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</si>
  <si>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</si>
  <si>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</si>
  <si>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</si>
  <si>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</si>
  <si>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</si>
  <si>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DERBYSHIRE</t>
  </si>
  <si>
    <t>Derby *</t>
  </si>
  <si>
    <t>DERBYSHIRE &amp; DERBY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</si>
  <si>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</si>
  <si>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</si>
  <si>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</si>
  <si>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</si>
  <si>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</si>
  <si>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</si>
  <si>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</si>
  <si>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LEICESTERSHIRE</t>
  </si>
  <si>
    <t>Leicester *</t>
  </si>
  <si>
    <t>Rutland *</t>
  </si>
  <si>
    <t>LEICESTERSHIRE, LEICESTER &amp; RUTLAND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</si>
  <si>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</si>
  <si>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</si>
  <si>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</si>
  <si>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</si>
  <si>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</si>
  <si>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</si>
  <si>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</si>
  <si>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LINCOLNSHIRE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</si>
  <si>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</si>
  <si>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</si>
  <si>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</si>
  <si>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</si>
  <si>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</si>
  <si>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</si>
  <si>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</si>
  <si>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NORTHAMPTONSHIRE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</si>
  <si>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</si>
  <si>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</si>
  <si>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</si>
  <si>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</si>
  <si>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</si>
  <si>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</si>
  <si>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</si>
  <si>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NOTTINGHAMSHIRE</t>
  </si>
  <si>
    <t>Nottingham *</t>
  </si>
  <si>
    <t>NOTTINGHAMSHIRE &amp; NOTTINGHAM</t>
  </si>
  <si>
    <t>EAST MIDLANDS REGION</t>
  </si>
  <si>
    <t>EQ + 5%</t>
  </si>
  <si>
    <t>DERBYSHIRE  *</t>
  </si>
  <si>
    <t>CITY OF DERBY  *</t>
  </si>
  <si>
    <t>AMBER VALLEY BOROUGH</t>
  </si>
  <si>
    <t>BOLSOVER DISTRICT</t>
  </si>
  <si>
    <t>CHESTERFIELD BOROUGH</t>
  </si>
  <si>
    <t>DERBYSHIRE DALES DISTRICT</t>
  </si>
  <si>
    <t>EREWASH BOROUGH</t>
  </si>
  <si>
    <t>HIGH PEAK BOROUGH</t>
  </si>
  <si>
    <t>NORTH EAST DERBYSHIRE DISTRICT</t>
  </si>
  <si>
    <t>SOUTH DERBYSHIRE DISTRICT</t>
  </si>
  <si>
    <t>Alfreton and Clay Cross CC</t>
  </si>
  <si>
    <t>Amber Valley (pt)</t>
  </si>
  <si>
    <t>Bolsover (pt)</t>
  </si>
  <si>
    <t>North East Derbyshire (pt)</t>
  </si>
  <si>
    <t>Amber Valley CC</t>
  </si>
  <si>
    <t>Derby (pt)</t>
  </si>
  <si>
    <t>Erewash (pt)</t>
  </si>
  <si>
    <t>Bolsover and Dronfield CC</t>
  </si>
  <si>
    <t>Chesterfield (pt)</t>
  </si>
  <si>
    <t>Chesterfield BC</t>
  </si>
  <si>
    <t>Derbyshire Dales CC</t>
  </si>
  <si>
    <t>Derby North BC</t>
  </si>
  <si>
    <t>Derby South BC</t>
  </si>
  <si>
    <t>South Derbyshire (pt)</t>
  </si>
  <si>
    <t>Erewash CC</t>
  </si>
  <si>
    <t>High Peak CC</t>
  </si>
  <si>
    <t>South Derbyshire CC</t>
  </si>
  <si>
    <t>* as created by The Derbyshire (City of Derby) (Structural Change) Order 1995</t>
  </si>
  <si>
    <t>Proposed</t>
  </si>
  <si>
    <t>E05001767</t>
  </si>
  <si>
    <t>Allestree</t>
  </si>
  <si>
    <t>E05001768</t>
  </si>
  <si>
    <t>Alvaston</t>
  </si>
  <si>
    <t>E05001769</t>
  </si>
  <si>
    <t>E05001770</t>
  </si>
  <si>
    <t>Blagreaves</t>
  </si>
  <si>
    <t>E05001771</t>
  </si>
  <si>
    <t>Boulton</t>
  </si>
  <si>
    <t>E05001772</t>
  </si>
  <si>
    <t>Chaddesden</t>
  </si>
  <si>
    <t>E05001773</t>
  </si>
  <si>
    <t>Chellaston</t>
  </si>
  <si>
    <t>E05001774</t>
  </si>
  <si>
    <t>Darley</t>
  </si>
  <si>
    <t>E05001775</t>
  </si>
  <si>
    <t>Derwent</t>
  </si>
  <si>
    <t>E05001776</t>
  </si>
  <si>
    <t>Littleover</t>
  </si>
  <si>
    <t>E05001777</t>
  </si>
  <si>
    <t>Mackworth</t>
  </si>
  <si>
    <t>E05001778</t>
  </si>
  <si>
    <t>Mickleover</t>
  </si>
  <si>
    <t>E05001779</t>
  </si>
  <si>
    <t>Normanton</t>
  </si>
  <si>
    <t>E05001780</t>
  </si>
  <si>
    <t>Oakwood</t>
  </si>
  <si>
    <t>E05001781</t>
  </si>
  <si>
    <t>Sinfin</t>
  </si>
  <si>
    <t>E05001782</t>
  </si>
  <si>
    <t>Spondon</t>
  </si>
  <si>
    <t>E05001783</t>
  </si>
  <si>
    <t>Amber Valley CC (pt)</t>
  </si>
  <si>
    <t>Derby South BC (pt)</t>
  </si>
  <si>
    <t>South Derbyshire CC (pt)</t>
  </si>
  <si>
    <t>* as created by The City of Derby (Electoral Changes) Order 2001</t>
  </si>
  <si>
    <t>AMBER VALLEY BOROUGH  *</t>
  </si>
  <si>
    <t>Alfreton</t>
  </si>
  <si>
    <t>E05003280</t>
  </si>
  <si>
    <t>Alport</t>
  </si>
  <si>
    <t>E05003281</t>
  </si>
  <si>
    <t>Belper Central</t>
  </si>
  <si>
    <t>E05003282</t>
  </si>
  <si>
    <t>Belper East</t>
  </si>
  <si>
    <t>E05003283</t>
  </si>
  <si>
    <t>Belper North</t>
  </si>
  <si>
    <t>E05003284</t>
  </si>
  <si>
    <t>Belper South</t>
  </si>
  <si>
    <t>E05008520</t>
  </si>
  <si>
    <t>Codnor and Waingroves</t>
  </si>
  <si>
    <t>E05003286</t>
  </si>
  <si>
    <t>Crich</t>
  </si>
  <si>
    <t>E05003287</t>
  </si>
  <si>
    <t>Duffield</t>
  </si>
  <si>
    <t>E05008521</t>
  </si>
  <si>
    <t>Heage and Ambergate</t>
  </si>
  <si>
    <t>E05003289</t>
  </si>
  <si>
    <t>Heanor and Loscoe</t>
  </si>
  <si>
    <t>E05003290</t>
  </si>
  <si>
    <t>Heanor East</t>
  </si>
  <si>
    <t>E05008522</t>
  </si>
  <si>
    <t>Heanor West</t>
  </si>
  <si>
    <t>E05003292</t>
  </si>
  <si>
    <t>Ironville and Riddings</t>
  </si>
  <si>
    <t>E05003293</t>
  </si>
  <si>
    <t>Kilburn, Denby and Holbrook</t>
  </si>
  <si>
    <t>E05008523</t>
  </si>
  <si>
    <t>Langley Mill and Aldercar</t>
  </si>
  <si>
    <t>E05003295</t>
  </si>
  <si>
    <t>Ripley</t>
  </si>
  <si>
    <t>E05003296</t>
  </si>
  <si>
    <t>Ripley and Marehay</t>
  </si>
  <si>
    <t>E05003297</t>
  </si>
  <si>
    <t>Shipley Park, Horsley and Horsley Woodhouse</t>
  </si>
  <si>
    <t>E05008524</t>
  </si>
  <si>
    <t>Somercotes</t>
  </si>
  <si>
    <t>E05003299</t>
  </si>
  <si>
    <t>South West Parishes</t>
  </si>
  <si>
    <t>E05003300</t>
  </si>
  <si>
    <t>Swanwick</t>
  </si>
  <si>
    <t>E05003301</t>
  </si>
  <si>
    <t>Wingfield</t>
  </si>
  <si>
    <t>E05003302</t>
  </si>
  <si>
    <t>Alfreton and Clay Cross CC (pt)</t>
  </si>
  <si>
    <t>Derbyshire Dales CC (pt)</t>
  </si>
  <si>
    <t>* as created by The Borough of Amber Valley (Electoral Changes) Order 1999 and</t>
  </si>
  <si>
    <t xml:space="preserve">   as altered by The Amber Valley (Related Alterations) Order 2009</t>
  </si>
  <si>
    <t>BOLSOVER DISTRICT  *</t>
  </si>
  <si>
    <t>Barlborough</t>
  </si>
  <si>
    <t>E05003303</t>
  </si>
  <si>
    <t>Blackwell</t>
  </si>
  <si>
    <t>E05003304</t>
  </si>
  <si>
    <t>Bolsover North West</t>
  </si>
  <si>
    <t>E05003305</t>
  </si>
  <si>
    <t>Bolsover South</t>
  </si>
  <si>
    <t>E05003306</t>
  </si>
  <si>
    <t>Bolsover West</t>
  </si>
  <si>
    <t>E05003307</t>
  </si>
  <si>
    <t>Clowne North</t>
  </si>
  <si>
    <t>E05003308</t>
  </si>
  <si>
    <t>Clowne South</t>
  </si>
  <si>
    <t>E05003309</t>
  </si>
  <si>
    <t>Elmton-with-Creswell</t>
  </si>
  <si>
    <t>E05010088</t>
  </si>
  <si>
    <t>Pinxton</t>
  </si>
  <si>
    <t>E05003311</t>
  </si>
  <si>
    <t>Pleasley</t>
  </si>
  <si>
    <t>E05003312</t>
  </si>
  <si>
    <t>Scarcliffe</t>
  </si>
  <si>
    <t>E05003313</t>
  </si>
  <si>
    <t>Shirebrook East</t>
  </si>
  <si>
    <t>E05003314</t>
  </si>
  <si>
    <t>Shirebrook Langwith</t>
  </si>
  <si>
    <t>E05003315</t>
  </si>
  <si>
    <t>Shirebrook North West</t>
  </si>
  <si>
    <t>E05003316</t>
  </si>
  <si>
    <t>Shirebrook South East</t>
  </si>
  <si>
    <t>E05003317</t>
  </si>
  <si>
    <t>Shirebrook South West</t>
  </si>
  <si>
    <t>E05003318</t>
  </si>
  <si>
    <t>South Normanton East</t>
  </si>
  <si>
    <t>E05003319</t>
  </si>
  <si>
    <t>South Normanton West</t>
  </si>
  <si>
    <t>E05003320</t>
  </si>
  <si>
    <t>Tibshelf</t>
  </si>
  <si>
    <t>E05003321</t>
  </si>
  <si>
    <t>Whitwell</t>
  </si>
  <si>
    <t>E05010089</t>
  </si>
  <si>
    <t>Bolsover and Dronfield CC (pt)</t>
  </si>
  <si>
    <t>* as created by The District of Bolsover (Electoral Changes) Order 1999 and</t>
  </si>
  <si>
    <t xml:space="preserve">   The Bolsover (Electoral Changes) Order 2014</t>
  </si>
  <si>
    <t>CHESTERFIELD BOROUGH  *</t>
  </si>
  <si>
    <t>Barrow Hill and New Whittington</t>
  </si>
  <si>
    <t>E05003323</t>
  </si>
  <si>
    <t>Brimington North</t>
  </si>
  <si>
    <t>E05003324</t>
  </si>
  <si>
    <t>Brimington South</t>
  </si>
  <si>
    <t>E05003325</t>
  </si>
  <si>
    <t>Brockwell</t>
  </si>
  <si>
    <t>E05003326</t>
  </si>
  <si>
    <t>Dunston</t>
  </si>
  <si>
    <t>E05003327</t>
  </si>
  <si>
    <t>Hasland</t>
  </si>
  <si>
    <t>E05003328</t>
  </si>
  <si>
    <t>Hollingwood and Inkersall</t>
  </si>
  <si>
    <t>E05003329</t>
  </si>
  <si>
    <t>Holmebrook</t>
  </si>
  <si>
    <t>E05003330</t>
  </si>
  <si>
    <t>Linacre</t>
  </si>
  <si>
    <t>E05003331</t>
  </si>
  <si>
    <t>Loundsley Green</t>
  </si>
  <si>
    <t>E05003332</t>
  </si>
  <si>
    <t>Lowgates and Woodthorpe</t>
  </si>
  <si>
    <t>E05003333</t>
  </si>
  <si>
    <t>Middlecroft and Poolsbrook</t>
  </si>
  <si>
    <t>E05003334</t>
  </si>
  <si>
    <t>E05003335</t>
  </si>
  <si>
    <t>Old Whittington</t>
  </si>
  <si>
    <t>E05003336</t>
  </si>
  <si>
    <t>Rother</t>
  </si>
  <si>
    <t>E05003337</t>
  </si>
  <si>
    <t>St Helen's</t>
  </si>
  <si>
    <t>E05003338</t>
  </si>
  <si>
    <t>E05003339</t>
  </si>
  <si>
    <t>E05003340</t>
  </si>
  <si>
    <t>E05003341</t>
  </si>
  <si>
    <t>* as created by The Borough of Chesterfield (Electoral Changes) Order 1999</t>
  </si>
  <si>
    <t>DERBYSHIRE DALES DISTRICT  *</t>
  </si>
  <si>
    <t>Ashbourne North</t>
  </si>
  <si>
    <t>E05003342</t>
  </si>
  <si>
    <t>Ashbourne South</t>
  </si>
  <si>
    <t>E05003343</t>
  </si>
  <si>
    <t>Bakewell</t>
  </si>
  <si>
    <t>E05003344</t>
  </si>
  <si>
    <t>E05003345</t>
  </si>
  <si>
    <t>Brailsford</t>
  </si>
  <si>
    <t>E05003346</t>
  </si>
  <si>
    <t>Calver</t>
  </si>
  <si>
    <t>E05003347</t>
  </si>
  <si>
    <t>Carsington Water</t>
  </si>
  <si>
    <t>E05003348</t>
  </si>
  <si>
    <t>Chatsworth</t>
  </si>
  <si>
    <t>E05003349</t>
  </si>
  <si>
    <t>Clifton and Bradley</t>
  </si>
  <si>
    <t>E05003350</t>
  </si>
  <si>
    <t>Darley Dale</t>
  </si>
  <si>
    <t>E05003351</t>
  </si>
  <si>
    <t>Dovedale and Parwich</t>
  </si>
  <si>
    <t>E05003352</t>
  </si>
  <si>
    <t>Doveridge and Sudbury</t>
  </si>
  <si>
    <t>E05003353</t>
  </si>
  <si>
    <t>Hartington and Taddington</t>
  </si>
  <si>
    <t>E05003354</t>
  </si>
  <si>
    <t>Hathersage and Eyam</t>
  </si>
  <si>
    <t>E05003355</t>
  </si>
  <si>
    <t>Hulland</t>
  </si>
  <si>
    <t>E05003356</t>
  </si>
  <si>
    <t>Lathkill and Bradford</t>
  </si>
  <si>
    <t>E05003357</t>
  </si>
  <si>
    <t>Litton and Longstone</t>
  </si>
  <si>
    <t>E05003358</t>
  </si>
  <si>
    <t>Masson</t>
  </si>
  <si>
    <t>E05003359</t>
  </si>
  <si>
    <t>Matlock All Saints</t>
  </si>
  <si>
    <t>E05003360</t>
  </si>
  <si>
    <t>Matlock St Giles</t>
  </si>
  <si>
    <t>E05003361</t>
  </si>
  <si>
    <t>Norbury</t>
  </si>
  <si>
    <t>E05003362</t>
  </si>
  <si>
    <t>Stanton</t>
  </si>
  <si>
    <t>E05003363</t>
  </si>
  <si>
    <t>Tideswell</t>
  </si>
  <si>
    <t>E05003364</t>
  </si>
  <si>
    <t>Winster and South Darley</t>
  </si>
  <si>
    <t>E05003365</t>
  </si>
  <si>
    <t>Wirksworth</t>
  </si>
  <si>
    <t>E05003366</t>
  </si>
  <si>
    <t>* as created by The District of Derbyshire Dales (Electoral Changes) Order 1999</t>
  </si>
  <si>
    <t>EREWASH BOROUGH  *</t>
  </si>
  <si>
    <t>Awsworth Road</t>
  </si>
  <si>
    <t>E05010604</t>
  </si>
  <si>
    <t>Breaston</t>
  </si>
  <si>
    <t>E05010605</t>
  </si>
  <si>
    <t>Cotmanhay</t>
  </si>
  <si>
    <t>E05010606</t>
  </si>
  <si>
    <t>Derby Road East</t>
  </si>
  <si>
    <t>E05010607</t>
  </si>
  <si>
    <t>Derby Road West</t>
  </si>
  <si>
    <t>E05010608</t>
  </si>
  <si>
    <t>Draycott &amp; Risley</t>
  </si>
  <si>
    <t>E05010609</t>
  </si>
  <si>
    <t>Hallam Fields</t>
  </si>
  <si>
    <t>E05010610</t>
  </si>
  <si>
    <t>Kirk Hallam &amp; Stanton-by-Dale</t>
  </si>
  <si>
    <t>E05010611</t>
  </si>
  <si>
    <t>Larklands</t>
  </si>
  <si>
    <t>E05010612</t>
  </si>
  <si>
    <t>Little Eaton &amp; Stanley</t>
  </si>
  <si>
    <t>E05010613</t>
  </si>
  <si>
    <t>Little Hallam</t>
  </si>
  <si>
    <t>E05010614</t>
  </si>
  <si>
    <t>Long Eaton Central</t>
  </si>
  <si>
    <t>E05010615</t>
  </si>
  <si>
    <t>Nottingham Road</t>
  </si>
  <si>
    <t>E05010616</t>
  </si>
  <si>
    <t>Ockbrook &amp; Borrowash</t>
  </si>
  <si>
    <t>E05010617</t>
  </si>
  <si>
    <t>Sandiacre</t>
  </si>
  <si>
    <t>E05010618</t>
  </si>
  <si>
    <t>Sawley</t>
  </si>
  <si>
    <t>E05010619</t>
  </si>
  <si>
    <t>Shipley View</t>
  </si>
  <si>
    <t>E05010620</t>
  </si>
  <si>
    <t>West Hallam &amp; Dale Abbey</t>
  </si>
  <si>
    <t>E05010621</t>
  </si>
  <si>
    <t>Wilsthorpe</t>
  </si>
  <si>
    <t>E05010622</t>
  </si>
  <si>
    <t>* as created by The Erewash (Electoral Changes) Order 2015</t>
  </si>
  <si>
    <t>HIGH PEAK BOROUGH  *</t>
  </si>
  <si>
    <t>Barms</t>
  </si>
  <si>
    <t>E05010623</t>
  </si>
  <si>
    <t>Blackbrook</t>
  </si>
  <si>
    <t>E05010624</t>
  </si>
  <si>
    <t>Burbage</t>
  </si>
  <si>
    <t>E05010625</t>
  </si>
  <si>
    <t>Buxton Central</t>
  </si>
  <si>
    <t>E05010626</t>
  </si>
  <si>
    <t>Chapel East</t>
  </si>
  <si>
    <t>E05010627</t>
  </si>
  <si>
    <t>Chapel West</t>
  </si>
  <si>
    <t>E05010628</t>
  </si>
  <si>
    <t>Corbar</t>
  </si>
  <si>
    <t>E05010629</t>
  </si>
  <si>
    <t>Cote Heath</t>
  </si>
  <si>
    <t>E05010630</t>
  </si>
  <si>
    <t>Dinting</t>
  </si>
  <si>
    <t>E05010631</t>
  </si>
  <si>
    <t>Gamesley</t>
  </si>
  <si>
    <t>E05010632</t>
  </si>
  <si>
    <t>Hadfield North</t>
  </si>
  <si>
    <t>E05010633</t>
  </si>
  <si>
    <t>Hadfield South</t>
  </si>
  <si>
    <t>E05010634</t>
  </si>
  <si>
    <t>Hayfield</t>
  </si>
  <si>
    <t>E05010635</t>
  </si>
  <si>
    <t>Hope Valley</t>
  </si>
  <si>
    <t>E05010636</t>
  </si>
  <si>
    <t>Howard Town</t>
  </si>
  <si>
    <t>E05010637</t>
  </si>
  <si>
    <t>Limestone Peak</t>
  </si>
  <si>
    <t>E05010638</t>
  </si>
  <si>
    <t>New Mills East</t>
  </si>
  <si>
    <t>E05010639</t>
  </si>
  <si>
    <t>New Mills West</t>
  </si>
  <si>
    <t>E05010640</t>
  </si>
  <si>
    <t>Old Glossop</t>
  </si>
  <si>
    <t>E05010641</t>
  </si>
  <si>
    <t>Padfield</t>
  </si>
  <si>
    <t>E05010642</t>
  </si>
  <si>
    <t>E05010643</t>
  </si>
  <si>
    <t>Sett</t>
  </si>
  <si>
    <t>E05010644</t>
  </si>
  <si>
    <t>Simmondley</t>
  </si>
  <si>
    <t>E05010645</t>
  </si>
  <si>
    <t>Stone Bench</t>
  </si>
  <si>
    <t>E05010646</t>
  </si>
  <si>
    <t>Temple</t>
  </si>
  <si>
    <t>E05010647</t>
  </si>
  <si>
    <t>Tintwistle</t>
  </si>
  <si>
    <t>E05010648</t>
  </si>
  <si>
    <t>Whaley Bridge</t>
  </si>
  <si>
    <t>E05010649</t>
  </si>
  <si>
    <t>Whitfield</t>
  </si>
  <si>
    <t>E05010650</t>
  </si>
  <si>
    <t>* as created by The High Peak (Electoral Changes) Order 2015</t>
  </si>
  <si>
    <t>NORTH EAST DERBYSHIRE DISTRICT  *</t>
  </si>
  <si>
    <t>Ashover</t>
  </si>
  <si>
    <t>E05003417</t>
  </si>
  <si>
    <t>Barlow and Holmesfield</t>
  </si>
  <si>
    <t>E05003418</t>
  </si>
  <si>
    <t>Brampton and Walton</t>
  </si>
  <si>
    <t>E05003419</t>
  </si>
  <si>
    <t>Clay Cross North</t>
  </si>
  <si>
    <t>E05003420</t>
  </si>
  <si>
    <t>Clay Cross South</t>
  </si>
  <si>
    <t>E05003421</t>
  </si>
  <si>
    <t>Coal Aston</t>
  </si>
  <si>
    <t>E05003422</t>
  </si>
  <si>
    <t>Dronfield North</t>
  </si>
  <si>
    <t>E05003423</t>
  </si>
  <si>
    <t>Dronfield South</t>
  </si>
  <si>
    <t>E05003424</t>
  </si>
  <si>
    <t>Dronfield Woodhouse</t>
  </si>
  <si>
    <t>E05003425</t>
  </si>
  <si>
    <t>Eckington North</t>
  </si>
  <si>
    <t>E05003426</t>
  </si>
  <si>
    <t>Eckington South</t>
  </si>
  <si>
    <t>E05003427</t>
  </si>
  <si>
    <t>Gosforth Valley</t>
  </si>
  <si>
    <t>E05003428</t>
  </si>
  <si>
    <t>Grassmoor</t>
  </si>
  <si>
    <t>E05003429</t>
  </si>
  <si>
    <t>Holmewood and Heath</t>
  </si>
  <si>
    <t>E05003430</t>
  </si>
  <si>
    <t>Killamarsh East</t>
  </si>
  <si>
    <t>E05003431</t>
  </si>
  <si>
    <t>Killamarsh West</t>
  </si>
  <si>
    <t>E05003432</t>
  </si>
  <si>
    <t>North Wingfield Central</t>
  </si>
  <si>
    <t>E05003433</t>
  </si>
  <si>
    <t>Pilsley and Morton</t>
  </si>
  <si>
    <t>E05003434</t>
  </si>
  <si>
    <t>Renishaw</t>
  </si>
  <si>
    <t>E05003435</t>
  </si>
  <si>
    <t>Ridgeway and Marsh Lane</t>
  </si>
  <si>
    <t>E05003436</t>
  </si>
  <si>
    <t>Shirland</t>
  </si>
  <si>
    <t>E05003437</t>
  </si>
  <si>
    <t>Sutton</t>
  </si>
  <si>
    <t>E05003438</t>
  </si>
  <si>
    <t>Tupton</t>
  </si>
  <si>
    <t>E05003439</t>
  </si>
  <si>
    <t>Unstone</t>
  </si>
  <si>
    <t>E05003440</t>
  </si>
  <si>
    <t>Wingerworth</t>
  </si>
  <si>
    <t>E05003441</t>
  </si>
  <si>
    <t>* as created by The District of North East Derbyshire (Electoral Changes) Order 2000</t>
  </si>
  <si>
    <t>SOUTH DERBYSHIRE DISTRICT  *</t>
  </si>
  <si>
    <t>E05008809</t>
  </si>
  <si>
    <t>Derby South CC</t>
  </si>
  <si>
    <t>Church Gresley</t>
  </si>
  <si>
    <t>E05008810</t>
  </si>
  <si>
    <t>Etwall</t>
  </si>
  <si>
    <t>E05008811</t>
  </si>
  <si>
    <t>Hatton</t>
  </si>
  <si>
    <t>E05008812</t>
  </si>
  <si>
    <t>Hilton</t>
  </si>
  <si>
    <t>E05008813</t>
  </si>
  <si>
    <t>Linton</t>
  </si>
  <si>
    <t>E05008814</t>
  </si>
  <si>
    <t>Melbourne</t>
  </si>
  <si>
    <t>E05008815</t>
  </si>
  <si>
    <t>Midway</t>
  </si>
  <si>
    <t>E05008816</t>
  </si>
  <si>
    <t>Newhall and Stanton</t>
  </si>
  <si>
    <t>E05008817</t>
  </si>
  <si>
    <t>Repton</t>
  </si>
  <si>
    <t>E05008818</t>
  </si>
  <si>
    <t>Seales</t>
  </si>
  <si>
    <t>E05008819</t>
  </si>
  <si>
    <t>Stenson</t>
  </si>
  <si>
    <t>E05008820</t>
  </si>
  <si>
    <t>Swadlincote</t>
  </si>
  <si>
    <t>E05008821</t>
  </si>
  <si>
    <t>Willington and Findern</t>
  </si>
  <si>
    <t>E05008822</t>
  </si>
  <si>
    <t>Woodville</t>
  </si>
  <si>
    <t>E05008823</t>
  </si>
  <si>
    <t>Derby South CC (pt)</t>
  </si>
  <si>
    <t>* as created by The South Derbyshire (Electoral Changes) Order 2011</t>
  </si>
  <si>
    <t>LEICESTERSHIRE  *</t>
  </si>
  <si>
    <t>CITY OF LEICESTER  *</t>
  </si>
  <si>
    <t>RUTLAND DISTRICT  *</t>
  </si>
  <si>
    <t>BLABY DISTRICT</t>
  </si>
  <si>
    <t>CHARNWOOD BOROUGH</t>
  </si>
  <si>
    <t>HARBOROUGH DISTRICT</t>
  </si>
  <si>
    <t>HINCKLEY AND BOSWORTH BOROUGH</t>
  </si>
  <si>
    <t>MELTON BOROUGH</t>
  </si>
  <si>
    <t>NORTH WEST LEICESTERSHIRE DISTRICT</t>
  </si>
  <si>
    <t>OADBY AND WIGSTON BOROUGH</t>
  </si>
  <si>
    <t>Bosworth CC</t>
  </si>
  <si>
    <t>Hinckley and Bosworth (pt)</t>
  </si>
  <si>
    <t>North West Leicestershire (pt)</t>
  </si>
  <si>
    <t>Charnwood CC</t>
  </si>
  <si>
    <t>Charnwood (pt)</t>
  </si>
  <si>
    <t>Daventry and Lutterworth CC</t>
  </si>
  <si>
    <t>Daventry (pt)</t>
  </si>
  <si>
    <t>Harborough (pt)</t>
  </si>
  <si>
    <t>Wellingborough (pt)</t>
  </si>
  <si>
    <t>Harborough CC</t>
  </si>
  <si>
    <t>Leicester East BC</t>
  </si>
  <si>
    <t>Leicester (pt)</t>
  </si>
  <si>
    <t>Leicester South BC</t>
  </si>
  <si>
    <t>Leicester West BC</t>
  </si>
  <si>
    <t>Blaby (pt)</t>
  </si>
  <si>
    <t>Loughborough and Rushcliffe South CC</t>
  </si>
  <si>
    <t>Rushcliffe (pt)</t>
  </si>
  <si>
    <t>North West Leicestershire CC</t>
  </si>
  <si>
    <t>Rutland and Melton CC</t>
  </si>
  <si>
    <t>Rutland</t>
  </si>
  <si>
    <t>South Leicestershire CC</t>
  </si>
  <si>
    <t>* as created by The Leicestershire (City of Leicester and District of Rutland) (Structural Change) Order 1996</t>
  </si>
  <si>
    <t>E05010458</t>
  </si>
  <si>
    <t>Aylestone</t>
  </si>
  <si>
    <t>E05010459</t>
  </si>
  <si>
    <t>Beaumont Leys</t>
  </si>
  <si>
    <t>E05010460</t>
  </si>
  <si>
    <t>E05010461</t>
  </si>
  <si>
    <t>Braunstone Park &amp; Rowley Fields</t>
  </si>
  <si>
    <t>E05010462</t>
  </si>
  <si>
    <t>E05010463</t>
  </si>
  <si>
    <t>Evington</t>
  </si>
  <si>
    <t>E05010464</t>
  </si>
  <si>
    <t>Eyres Monsell</t>
  </si>
  <si>
    <t>E05010465</t>
  </si>
  <si>
    <t>Fosse</t>
  </si>
  <si>
    <t>E05010466</t>
  </si>
  <si>
    <t>Humberstone &amp; Hamilton</t>
  </si>
  <si>
    <t>E05010467</t>
  </si>
  <si>
    <t>Knighton</t>
  </si>
  <si>
    <t>E05010468</t>
  </si>
  <si>
    <t>North Evington</t>
  </si>
  <si>
    <t>E05010469</t>
  </si>
  <si>
    <t>Rushey Mead</t>
  </si>
  <si>
    <t>E05010470</t>
  </si>
  <si>
    <t>Saffron</t>
  </si>
  <si>
    <t>E05010471</t>
  </si>
  <si>
    <t>Spinney Hills</t>
  </si>
  <si>
    <t>E05010472</t>
  </si>
  <si>
    <t>Stoneygate</t>
  </si>
  <si>
    <t>E05010473</t>
  </si>
  <si>
    <t>Thurncourt</t>
  </si>
  <si>
    <t>E05010474</t>
  </si>
  <si>
    <t>Troon</t>
  </si>
  <si>
    <t>E05010475</t>
  </si>
  <si>
    <t>Westcotes</t>
  </si>
  <si>
    <t>E05010476</t>
  </si>
  <si>
    <t>Western</t>
  </si>
  <si>
    <t>E05010477</t>
  </si>
  <si>
    <t>Wycliffe</t>
  </si>
  <si>
    <t>E05010478</t>
  </si>
  <si>
    <t>Leicester West BC (pt)</t>
  </si>
  <si>
    <t>* as created by The Leicester (Electoral Changes) Order 2014</t>
  </si>
  <si>
    <t>Braunston and Belton</t>
  </si>
  <si>
    <t>E05001806</t>
  </si>
  <si>
    <t>Cottesmore</t>
  </si>
  <si>
    <t>E05001807</t>
  </si>
  <si>
    <t>Exton</t>
  </si>
  <si>
    <t>E05001808</t>
  </si>
  <si>
    <t>Greetham</t>
  </si>
  <si>
    <t>E05001809</t>
  </si>
  <si>
    <t>Ketton</t>
  </si>
  <si>
    <t>E05001810</t>
  </si>
  <si>
    <t>Langham</t>
  </si>
  <si>
    <t>E05001811</t>
  </si>
  <si>
    <t>Lyddington</t>
  </si>
  <si>
    <t>E05001812</t>
  </si>
  <si>
    <t>Martinsthorpe</t>
  </si>
  <si>
    <t>E05001813</t>
  </si>
  <si>
    <t>E05001814</t>
  </si>
  <si>
    <t>Oakham North East</t>
  </si>
  <si>
    <t>E05001815</t>
  </si>
  <si>
    <t>Oakham North West</t>
  </si>
  <si>
    <t>E05001816</t>
  </si>
  <si>
    <t>Oakham South East</t>
  </si>
  <si>
    <t>E05001817</t>
  </si>
  <si>
    <t>Oakham South West</t>
  </si>
  <si>
    <t>E05001818</t>
  </si>
  <si>
    <t>Ryhall and Casterton</t>
  </si>
  <si>
    <t>E05001819</t>
  </si>
  <si>
    <t>Uppingham</t>
  </si>
  <si>
    <t>E05001820</t>
  </si>
  <si>
    <t>Whissendine</t>
  </si>
  <si>
    <t>E05001821</t>
  </si>
  <si>
    <t>Rutland and Melton CC (pt)</t>
  </si>
  <si>
    <t>* as created by The District of Rutland (Electoral Changes) Order 2003</t>
  </si>
  <si>
    <t>BLABY DISTRICT  *</t>
  </si>
  <si>
    <t>Blaby South</t>
  </si>
  <si>
    <t>E05005408</t>
  </si>
  <si>
    <t>Cosby with South Whetstone</t>
  </si>
  <si>
    <t>E05005409</t>
  </si>
  <si>
    <t>Countesthorpe</t>
  </si>
  <si>
    <t>E05005410</t>
  </si>
  <si>
    <t>Croft Hill</t>
  </si>
  <si>
    <t>E05005411</t>
  </si>
  <si>
    <t>Ellis</t>
  </si>
  <si>
    <t>E05005412</t>
  </si>
  <si>
    <t>Enderby and St John's</t>
  </si>
  <si>
    <t>E05005413</t>
  </si>
  <si>
    <t>Fairestone</t>
  </si>
  <si>
    <t>E05005414</t>
  </si>
  <si>
    <t>E05009619</t>
  </si>
  <si>
    <t>Millfield</t>
  </si>
  <si>
    <t>E05005416</t>
  </si>
  <si>
    <t>Muxloe</t>
  </si>
  <si>
    <t>E05005417</t>
  </si>
  <si>
    <t>Narborough and Littlethorpe</t>
  </si>
  <si>
    <t>E05005418</t>
  </si>
  <si>
    <t>E05005419</t>
  </si>
  <si>
    <t>North Whetstone</t>
  </si>
  <si>
    <t>E05005420</t>
  </si>
  <si>
    <t>Pastures</t>
  </si>
  <si>
    <t>E05005421</t>
  </si>
  <si>
    <t>Ravenhurst and Fosse</t>
  </si>
  <si>
    <t>E05005422</t>
  </si>
  <si>
    <t>Saxondale</t>
  </si>
  <si>
    <t>E05005423</t>
  </si>
  <si>
    <t>Stanton and Flamville</t>
  </si>
  <si>
    <t>E05005424</t>
  </si>
  <si>
    <t>Winstanley</t>
  </si>
  <si>
    <t>E05009620</t>
  </si>
  <si>
    <t>South Leicestershire CC (pt)</t>
  </si>
  <si>
    <t>* as created by The District of Blaby (Electoral Changes) Order 2002 and</t>
  </si>
  <si>
    <t xml:space="preserve">   as altered The District of Blaby (Electoral Changes) Order 2012</t>
  </si>
  <si>
    <t>CHARNWOOD BOROUGH  *</t>
  </si>
  <si>
    <t>Anstey</t>
  </si>
  <si>
    <t>E05005426</t>
  </si>
  <si>
    <t>Barrow and Sileby West</t>
  </si>
  <si>
    <t>E05005427</t>
  </si>
  <si>
    <t>Birstall Wanlip</t>
  </si>
  <si>
    <t>E05005428</t>
  </si>
  <si>
    <t>Birstall Watermead</t>
  </si>
  <si>
    <t>E05005429</t>
  </si>
  <si>
    <t>East Goscote</t>
  </si>
  <si>
    <t>E05005430</t>
  </si>
  <si>
    <t>Forest Bradgate</t>
  </si>
  <si>
    <t>E05005431</t>
  </si>
  <si>
    <t>Loughborough Ashby</t>
  </si>
  <si>
    <t>E05005432</t>
  </si>
  <si>
    <t>Loughborough Dishley and Hathern</t>
  </si>
  <si>
    <t>E05005433</t>
  </si>
  <si>
    <t>Loughborough Garendon</t>
  </si>
  <si>
    <t>E05005434</t>
  </si>
  <si>
    <t>Loughborough Hastings</t>
  </si>
  <si>
    <t>E05005435</t>
  </si>
  <si>
    <t>Loughborough Lemyngton</t>
  </si>
  <si>
    <t>E05005436</t>
  </si>
  <si>
    <t>Loughborough Nanpantan</t>
  </si>
  <si>
    <t>E05005437</t>
  </si>
  <si>
    <t>Loughborough Outwoods</t>
  </si>
  <si>
    <t>E05005438</t>
  </si>
  <si>
    <t>Loughborough Shelthorpe</t>
  </si>
  <si>
    <t>E05005439</t>
  </si>
  <si>
    <t>Loughborough Southfields</t>
  </si>
  <si>
    <t>E05005440</t>
  </si>
  <si>
    <t>Loughborough Storer</t>
  </si>
  <si>
    <t>E05005441</t>
  </si>
  <si>
    <t>Mountsorrel</t>
  </si>
  <si>
    <t>E05005442</t>
  </si>
  <si>
    <t>Queniborough</t>
  </si>
  <si>
    <t>E05005443</t>
  </si>
  <si>
    <t>Quorn and Mountsorrel Castle</t>
  </si>
  <si>
    <t>E05005444</t>
  </si>
  <si>
    <t>Rothley and Thurcaston</t>
  </si>
  <si>
    <t>E05005445</t>
  </si>
  <si>
    <t>Shepshed East</t>
  </si>
  <si>
    <t>E05005446</t>
  </si>
  <si>
    <t>Shepshed West</t>
  </si>
  <si>
    <t>E05005447</t>
  </si>
  <si>
    <t>Sileby</t>
  </si>
  <si>
    <t>E05005448</t>
  </si>
  <si>
    <t>Syston East</t>
  </si>
  <si>
    <t>E05005449</t>
  </si>
  <si>
    <t>Syston West</t>
  </si>
  <si>
    <t>E05005450</t>
  </si>
  <si>
    <t>The Wolds</t>
  </si>
  <si>
    <t>E05005451</t>
  </si>
  <si>
    <t>Thurmaston</t>
  </si>
  <si>
    <t>E05005452</t>
  </si>
  <si>
    <t>Wreake Villages</t>
  </si>
  <si>
    <t>E05005453</t>
  </si>
  <si>
    <t>Charnwood CC (pt)</t>
  </si>
  <si>
    <t>Loughborough and Rushcliffe South CC (pt)</t>
  </si>
  <si>
    <t>North West Leicestershire CC (pt)</t>
  </si>
  <si>
    <t>* as created by The Borough of Charnwood (Electoral Changes) Order 2002</t>
  </si>
  <si>
    <t>HARBOROUGH DISTRICT  *</t>
  </si>
  <si>
    <t>Billesdon</t>
  </si>
  <si>
    <t>E05005454</t>
  </si>
  <si>
    <t>Bosworth</t>
  </si>
  <si>
    <t>E05005455</t>
  </si>
  <si>
    <t>Broughton Astley-Astley</t>
  </si>
  <si>
    <t>E05005456</t>
  </si>
  <si>
    <t>Broughton Astley-Broughton</t>
  </si>
  <si>
    <t>E05005457</t>
  </si>
  <si>
    <t>Broughton Astley-Primethorpe</t>
  </si>
  <si>
    <t>E05005458</t>
  </si>
  <si>
    <t>Broughton Astley-Sutton</t>
  </si>
  <si>
    <t>E05005459</t>
  </si>
  <si>
    <t>Dunton</t>
  </si>
  <si>
    <t>E05005460</t>
  </si>
  <si>
    <t>Fleckney</t>
  </si>
  <si>
    <t>E05005461</t>
  </si>
  <si>
    <t>Glen</t>
  </si>
  <si>
    <t>E05005462</t>
  </si>
  <si>
    <t>Kibworth</t>
  </si>
  <si>
    <t>E05005463</t>
  </si>
  <si>
    <t>Lubenham</t>
  </si>
  <si>
    <t>E05005464</t>
  </si>
  <si>
    <t>Lutterworth Brookfield</t>
  </si>
  <si>
    <t>E05005465</t>
  </si>
  <si>
    <t>Lutterworth Orchard</t>
  </si>
  <si>
    <t>E05005466</t>
  </si>
  <si>
    <t>Lutterworth Springs</t>
  </si>
  <si>
    <t>E05005467</t>
  </si>
  <si>
    <t>Lutterworth Swift</t>
  </si>
  <si>
    <t>E05005468</t>
  </si>
  <si>
    <t>Market Harborough-Great Bowden and Arden</t>
  </si>
  <si>
    <t>E05005469</t>
  </si>
  <si>
    <t>Market Harborough-Little Bowden</t>
  </si>
  <si>
    <t>E05005470</t>
  </si>
  <si>
    <t>Market Harborough-Logan</t>
  </si>
  <si>
    <t>E05005471</t>
  </si>
  <si>
    <t>Market Harborough-Welland</t>
  </si>
  <si>
    <t>E05005472</t>
  </si>
  <si>
    <t>Misterton</t>
  </si>
  <si>
    <t>E05005473</t>
  </si>
  <si>
    <t>Nevill</t>
  </si>
  <si>
    <t>E05005474</t>
  </si>
  <si>
    <t>Peatling</t>
  </si>
  <si>
    <t>E05005475</t>
  </si>
  <si>
    <t>Thurnby and Houghton</t>
  </si>
  <si>
    <t>E05005476</t>
  </si>
  <si>
    <t>Tilton</t>
  </si>
  <si>
    <t>E05005477</t>
  </si>
  <si>
    <t>Ullesthorpe</t>
  </si>
  <si>
    <t>E05005478</t>
  </si>
  <si>
    <t>Daventry and Lutterworth CC (pt)</t>
  </si>
  <si>
    <t>Harborough CC (pt)</t>
  </si>
  <si>
    <t>*as created by The District of Harborough (Electoral Changes) Order 2002</t>
  </si>
  <si>
    <t>HINCKLEY AND BOSWORTH BOROUGH  *</t>
  </si>
  <si>
    <t>Ambien</t>
  </si>
  <si>
    <t>E05005479</t>
  </si>
  <si>
    <t>Barlestone, Nailstone and Osbaston</t>
  </si>
  <si>
    <t>E05005480</t>
  </si>
  <si>
    <t>Barwell</t>
  </si>
  <si>
    <t>E05005481</t>
  </si>
  <si>
    <t>Burbage St Catherines and Lash Hill</t>
  </si>
  <si>
    <t>E05005482</t>
  </si>
  <si>
    <t>Burbage Sketchley and Stretton</t>
  </si>
  <si>
    <t>E05005483</t>
  </si>
  <si>
    <t>Cadeby, Carlton and Market Bosworth with Shackerstone</t>
  </si>
  <si>
    <t>E05005484</t>
  </si>
  <si>
    <t>Earl Shilton</t>
  </si>
  <si>
    <t>E05005485</t>
  </si>
  <si>
    <t>Groby</t>
  </si>
  <si>
    <t>E05005486</t>
  </si>
  <si>
    <t>Hinckley Castle</t>
  </si>
  <si>
    <t>E05005487</t>
  </si>
  <si>
    <t>Hinckley Clarendon</t>
  </si>
  <si>
    <t>E05005488</t>
  </si>
  <si>
    <t>Hinckley De Montfort</t>
  </si>
  <si>
    <t>E05005489</t>
  </si>
  <si>
    <t>Hinckley Trinity</t>
  </si>
  <si>
    <t>E05005490</t>
  </si>
  <si>
    <t>Markfield, Stanton and Fieldhead</t>
  </si>
  <si>
    <t>E05005491</t>
  </si>
  <si>
    <t>Newbold Verdon with Desford and Peckleton</t>
  </si>
  <si>
    <t>E05005492</t>
  </si>
  <si>
    <t>Ratby, Bagworth and Thornton</t>
  </si>
  <si>
    <t>E05005493</t>
  </si>
  <si>
    <t>Twycross and Witherley with Sheepy</t>
  </si>
  <si>
    <t>E05005494</t>
  </si>
  <si>
    <t>Bosworth CC (pt)</t>
  </si>
  <si>
    <t>* as created by The Borough of Hinckley and Bosworth (Electoral Changes) Order 2002</t>
  </si>
  <si>
    <t>MELTON BOROUGH  *</t>
  </si>
  <si>
    <t>Asfordby</t>
  </si>
  <si>
    <t>E05005495</t>
  </si>
  <si>
    <t>Bottesford</t>
  </si>
  <si>
    <t>E05005496</t>
  </si>
  <si>
    <t>Croxton Kerrial</t>
  </si>
  <si>
    <t>E05005497</t>
  </si>
  <si>
    <t>Frisby-on-the-Wreake</t>
  </si>
  <si>
    <t>E05005498</t>
  </si>
  <si>
    <t>Gaddesby</t>
  </si>
  <si>
    <t>E05005499</t>
  </si>
  <si>
    <t>Long Clawson and Stathern</t>
  </si>
  <si>
    <t>E05005500</t>
  </si>
  <si>
    <t>Melton Craven</t>
  </si>
  <si>
    <t>E05005501</t>
  </si>
  <si>
    <t>Melton Dorian</t>
  </si>
  <si>
    <t>E05005502</t>
  </si>
  <si>
    <t>Melton Egerton</t>
  </si>
  <si>
    <t>E05005503</t>
  </si>
  <si>
    <t>Melton Newport</t>
  </si>
  <si>
    <t>E05005504</t>
  </si>
  <si>
    <t>Melton Sysonby</t>
  </si>
  <si>
    <t>E05005505</t>
  </si>
  <si>
    <t>Melton Warwick</t>
  </si>
  <si>
    <t>E05005506</t>
  </si>
  <si>
    <t>Old Dalby</t>
  </si>
  <si>
    <t>E05005507</t>
  </si>
  <si>
    <t>Somerby</t>
  </si>
  <si>
    <t>E05005508</t>
  </si>
  <si>
    <t>Waltham-on-the-Wolds</t>
  </si>
  <si>
    <t>E05005509</t>
  </si>
  <si>
    <t>Wymondham</t>
  </si>
  <si>
    <t>E05005510</t>
  </si>
  <si>
    <t>* as created by The Borough of Melton (Electoral Changes) Order 2002</t>
  </si>
  <si>
    <t>NORTH WEST LEICESTERSHIRE DISTRICT  *</t>
  </si>
  <si>
    <t>Appleby</t>
  </si>
  <si>
    <t>E05010090</t>
  </si>
  <si>
    <t>Ashby Castle</t>
  </si>
  <si>
    <t>E05010091</t>
  </si>
  <si>
    <t>Ashby Holywell</t>
  </si>
  <si>
    <t>E05010092</t>
  </si>
  <si>
    <t>Ashby Ivanhoe</t>
  </si>
  <si>
    <t>E05010093</t>
  </si>
  <si>
    <t>Ashby Money Hill</t>
  </si>
  <si>
    <t>E05010094</t>
  </si>
  <si>
    <t>Ashby Willesley</t>
  </si>
  <si>
    <t>E05010095</t>
  </si>
  <si>
    <t>Ashby Woulds</t>
  </si>
  <si>
    <t>E05010096</t>
  </si>
  <si>
    <t>Bardon</t>
  </si>
  <si>
    <t>E05010097</t>
  </si>
  <si>
    <t>Blackfordby</t>
  </si>
  <si>
    <t>E05010098</t>
  </si>
  <si>
    <t>Broom Leys</t>
  </si>
  <si>
    <t>E05010099</t>
  </si>
  <si>
    <t>Castle Donington Castle</t>
  </si>
  <si>
    <t>E05010100</t>
  </si>
  <si>
    <t>Castle Donington Central</t>
  </si>
  <si>
    <t>E05010101</t>
  </si>
  <si>
    <t>Castle Donington Park</t>
  </si>
  <si>
    <t>E05010102</t>
  </si>
  <si>
    <t>Castle Rock</t>
  </si>
  <si>
    <t>E05010103</t>
  </si>
  <si>
    <t>Coalville East</t>
  </si>
  <si>
    <t>E05010104</t>
  </si>
  <si>
    <t>Coalville West</t>
  </si>
  <si>
    <t>E05010105</t>
  </si>
  <si>
    <t>Daleacre Hill</t>
  </si>
  <si>
    <t>E05010106</t>
  </si>
  <si>
    <t>Ellistown &amp; Battleflat</t>
  </si>
  <si>
    <t>E05010107</t>
  </si>
  <si>
    <t>Greenhill</t>
  </si>
  <si>
    <t>E05010108</t>
  </si>
  <si>
    <t>Hermitage</t>
  </si>
  <si>
    <t>E05010109</t>
  </si>
  <si>
    <t>Holly Hayes</t>
  </si>
  <si>
    <t>E05010110</t>
  </si>
  <si>
    <t>Hugglescote St John's</t>
  </si>
  <si>
    <t>E05010111</t>
  </si>
  <si>
    <t>Hugglescote St Mary's</t>
  </si>
  <si>
    <t>E05010112</t>
  </si>
  <si>
    <t>Ibstock East</t>
  </si>
  <si>
    <t>E05010113</t>
  </si>
  <si>
    <t>Ibstock West</t>
  </si>
  <si>
    <t>E05010114</t>
  </si>
  <si>
    <t>Kegworth</t>
  </si>
  <si>
    <t>E05010115</t>
  </si>
  <si>
    <t>Long Whatton &amp; Diseworth</t>
  </si>
  <si>
    <t>E05010116</t>
  </si>
  <si>
    <t>Measham North</t>
  </si>
  <si>
    <t>E05010117</t>
  </si>
  <si>
    <t>Measham South</t>
  </si>
  <si>
    <t>E05010118</t>
  </si>
  <si>
    <t>Oakthorpe &amp; Donisthorpe</t>
  </si>
  <si>
    <t>E05010119</t>
  </si>
  <si>
    <t>Ravenstone &amp; Packington</t>
  </si>
  <si>
    <t>E05010120</t>
  </si>
  <si>
    <t>Sence Valley</t>
  </si>
  <si>
    <t>E05010121</t>
  </si>
  <si>
    <t>Snibston North</t>
  </si>
  <si>
    <t>E05010122</t>
  </si>
  <si>
    <t>Snibston South</t>
  </si>
  <si>
    <t>E05010123</t>
  </si>
  <si>
    <t>Thornborough</t>
  </si>
  <si>
    <t>E05010124</t>
  </si>
  <si>
    <t>Thringstone</t>
  </si>
  <si>
    <t>E05010125</t>
  </si>
  <si>
    <t>E05010126</t>
  </si>
  <si>
    <t>Worthington &amp; Breedon</t>
  </si>
  <si>
    <t>E05010127</t>
  </si>
  <si>
    <t>* as created by The North West Leicestershire (Electoral Changes) Order 2014</t>
  </si>
  <si>
    <t>OADBY AND WIGSTON BOROUGH  *</t>
  </si>
  <si>
    <t>Oadby Brocks Hill</t>
  </si>
  <si>
    <t>E05005531</t>
  </si>
  <si>
    <t>Oadby Grange</t>
  </si>
  <si>
    <t>E05005532</t>
  </si>
  <si>
    <t>Oadby St Peter's</t>
  </si>
  <si>
    <t>E05005533</t>
  </si>
  <si>
    <t>Oadby Uplands</t>
  </si>
  <si>
    <t>E05005534</t>
  </si>
  <si>
    <t>Oadby Woodlands</t>
  </si>
  <si>
    <t>E05005535</t>
  </si>
  <si>
    <t>South Wigston</t>
  </si>
  <si>
    <t>E05005536</t>
  </si>
  <si>
    <t>Wigston All Saints</t>
  </si>
  <si>
    <t>E05005537</t>
  </si>
  <si>
    <t>Wigston Fields</t>
  </si>
  <si>
    <t>E05005538</t>
  </si>
  <si>
    <t>Wigston Meadowcourt</t>
  </si>
  <si>
    <t>E05005539</t>
  </si>
  <si>
    <t>Wigston St Wolstan's</t>
  </si>
  <si>
    <t>E05005540</t>
  </si>
  <si>
    <t>* as created by The Borough of Oadby and Wigston (Electoral Changes) Order 2002</t>
  </si>
  <si>
    <t>BOSTON BOROUGH</t>
  </si>
  <si>
    <t>EAST LINDSEY DISTRICT</t>
  </si>
  <si>
    <t>CITY OF LINCOLN</t>
  </si>
  <si>
    <t>NORTH KESTEVEN DISTRICT</t>
  </si>
  <si>
    <t>SOUTH HOLLAND DISTRICT</t>
  </si>
  <si>
    <t>SOUTH KESTEVEN DISTRICT</t>
  </si>
  <si>
    <t>WEST LINDSEY DISTRICT</t>
  </si>
  <si>
    <t>Boston and Skegness CC</t>
  </si>
  <si>
    <t>East Lindsey (pt)</t>
  </si>
  <si>
    <t>South Kesteven (pt)</t>
  </si>
  <si>
    <t>Gainsborough CC</t>
  </si>
  <si>
    <t>Grantham and Stamford CC</t>
  </si>
  <si>
    <t>Lincoln BC</t>
  </si>
  <si>
    <t>North Kesteven (pt)</t>
  </si>
  <si>
    <t>Louth and Horncastle CC</t>
  </si>
  <si>
    <t>Sleaford CC</t>
  </si>
  <si>
    <t>South Holland and The Deepings CC</t>
  </si>
  <si>
    <t>BOSTON BOROUGH  *</t>
  </si>
  <si>
    <t>Coastal</t>
  </si>
  <si>
    <t>E05009621</t>
  </si>
  <si>
    <t>Fenside</t>
  </si>
  <si>
    <t>E05009622</t>
  </si>
  <si>
    <t>Fishtoft</t>
  </si>
  <si>
    <t>E05009623</t>
  </si>
  <si>
    <t>Five Village</t>
  </si>
  <si>
    <t>E05009624</t>
  </si>
  <si>
    <t>Kirton and Frampton</t>
  </si>
  <si>
    <t>E05009625</t>
  </si>
  <si>
    <t>Old Leake and Wrangle</t>
  </si>
  <si>
    <t>E05009626</t>
  </si>
  <si>
    <t>St Thomas'</t>
  </si>
  <si>
    <t>E05009627</t>
  </si>
  <si>
    <t>Skirbeck</t>
  </si>
  <si>
    <t>E05009628</t>
  </si>
  <si>
    <t>Staniland</t>
  </si>
  <si>
    <t>E05009629</t>
  </si>
  <si>
    <t>Station</t>
  </si>
  <si>
    <t>E05009630</t>
  </si>
  <si>
    <t>Swineshead and Holland Fen</t>
  </si>
  <si>
    <t>E05009631</t>
  </si>
  <si>
    <t>E05009632</t>
  </si>
  <si>
    <t>E05009633</t>
  </si>
  <si>
    <t>Witham</t>
  </si>
  <si>
    <t>E05009634</t>
  </si>
  <si>
    <t>Wyberton</t>
  </si>
  <si>
    <t>E05009635</t>
  </si>
  <si>
    <t>Boston and Skegness CC (pt)</t>
  </si>
  <si>
    <t>* as created by The Boston (Electoral Changes) Order 2013</t>
  </si>
  <si>
    <t>EAST LINDSEY DISTRICT  *</t>
  </si>
  <si>
    <t>Alford</t>
  </si>
  <si>
    <t>E05009873</t>
  </si>
  <si>
    <t>Binbrook</t>
  </si>
  <si>
    <t>E05009874</t>
  </si>
  <si>
    <t>Burgh le Marsh</t>
  </si>
  <si>
    <t>E05009875</t>
  </si>
  <si>
    <t>Chapel St Leonards</t>
  </si>
  <si>
    <t>E05009876</t>
  </si>
  <si>
    <t>Coningsby &amp; Mareham</t>
  </si>
  <si>
    <t>E05009877</t>
  </si>
  <si>
    <t>Croft</t>
  </si>
  <si>
    <t>E05009878</t>
  </si>
  <si>
    <t>Friskney</t>
  </si>
  <si>
    <t>E05009879</t>
  </si>
  <si>
    <t>Fulstow</t>
  </si>
  <si>
    <t>E05009880</t>
  </si>
  <si>
    <t>Grimoldby</t>
  </si>
  <si>
    <t>E05009881</t>
  </si>
  <si>
    <t>Hagworthingham</t>
  </si>
  <si>
    <t>E05009882</t>
  </si>
  <si>
    <t>Halton Holegate</t>
  </si>
  <si>
    <t>E05009883</t>
  </si>
  <si>
    <t>Holton-le-Clay &amp; North Thoresby</t>
  </si>
  <si>
    <t>E05009884</t>
  </si>
  <si>
    <t>Horncastle</t>
  </si>
  <si>
    <t>E05009885</t>
  </si>
  <si>
    <t>Ingoldmells</t>
  </si>
  <si>
    <t>E05009886</t>
  </si>
  <si>
    <t>Legbourne</t>
  </si>
  <si>
    <t>E05009887</t>
  </si>
  <si>
    <t>Mablethorpe</t>
  </si>
  <si>
    <t>E05009888</t>
  </si>
  <si>
    <t>Marshchapel &amp; Somercotes</t>
  </si>
  <si>
    <t>E05009889</t>
  </si>
  <si>
    <t>North Holme</t>
  </si>
  <si>
    <t>E05009890</t>
  </si>
  <si>
    <t>Priory &amp; St James'</t>
  </si>
  <si>
    <t>E05009891</t>
  </si>
  <si>
    <t>Roughton</t>
  </si>
  <si>
    <t>E05009892</t>
  </si>
  <si>
    <t>Scarbrough &amp; Seacroft</t>
  </si>
  <si>
    <t>E05009897</t>
  </si>
  <si>
    <t>Sibsey &amp; Stickney</t>
  </si>
  <si>
    <t>E05009898</t>
  </si>
  <si>
    <t>Spilsby</t>
  </si>
  <si>
    <t>E05009899</t>
  </si>
  <si>
    <t>St Clement's</t>
  </si>
  <si>
    <t>E05009893</t>
  </si>
  <si>
    <t>St Margaret's</t>
  </si>
  <si>
    <t>E05009894</t>
  </si>
  <si>
    <t>St Mary's</t>
  </si>
  <si>
    <t>E05009895</t>
  </si>
  <si>
    <t>E05009896</t>
  </si>
  <si>
    <t>Sutton on Sea</t>
  </si>
  <si>
    <t>E05009900</t>
  </si>
  <si>
    <t>Tetford &amp; Donington</t>
  </si>
  <si>
    <t>E05009901</t>
  </si>
  <si>
    <t>Tetney</t>
  </si>
  <si>
    <t>E05009902</t>
  </si>
  <si>
    <t>E05009903</t>
  </si>
  <si>
    <t>Wainfleet</t>
  </si>
  <si>
    <t>E05009904</t>
  </si>
  <si>
    <t>Willoughby with Sloothby</t>
  </si>
  <si>
    <t>E05009905</t>
  </si>
  <si>
    <t>Winthorpe</t>
  </si>
  <si>
    <t>E05009906</t>
  </si>
  <si>
    <t>Withern &amp; Theddlethorpe</t>
  </si>
  <si>
    <t>E05009907</t>
  </si>
  <si>
    <t>Woodhall Spa</t>
  </si>
  <si>
    <t>E05009908</t>
  </si>
  <si>
    <t>Wragby</t>
  </si>
  <si>
    <t>E05009909</t>
  </si>
  <si>
    <t>Gainsborough CC (pt)</t>
  </si>
  <si>
    <t>* as created by The East Lindsey (Electoral Changes) Order 2014</t>
  </si>
  <si>
    <t>CITY OF LINCOLN  *</t>
  </si>
  <si>
    <t>E05005607</t>
  </si>
  <si>
    <t>Birchwood</t>
  </si>
  <si>
    <t>E05005608</t>
  </si>
  <si>
    <t>Boultham</t>
  </si>
  <si>
    <t>E05005609</t>
  </si>
  <si>
    <t>Bracebridge</t>
  </si>
  <si>
    <t>E05005610</t>
  </si>
  <si>
    <t>Carholme</t>
  </si>
  <si>
    <t>E05005611</t>
  </si>
  <si>
    <t>E05005612</t>
  </si>
  <si>
    <t>Glebe</t>
  </si>
  <si>
    <t>E05005613</t>
  </si>
  <si>
    <t>Hartsholme</t>
  </si>
  <si>
    <t>E05005614</t>
  </si>
  <si>
    <t>Minster</t>
  </si>
  <si>
    <t>E05005615</t>
  </si>
  <si>
    <t>E05005616</t>
  </si>
  <si>
    <t>E05005617</t>
  </si>
  <si>
    <t>Lincoln BC (pt)</t>
  </si>
  <si>
    <t>* as created by The City of Lincoln (Electoral Changes) Order 2006</t>
  </si>
  <si>
    <t>NORTH KESTEVEN DISTRICT  *</t>
  </si>
  <si>
    <t>Ashby de la Launde and Cranwell</t>
  </si>
  <si>
    <t>E05005618</t>
  </si>
  <si>
    <t>Bassingham and Brant Broughton</t>
  </si>
  <si>
    <t>E05005619</t>
  </si>
  <si>
    <t>Billinghay, Martin and North Kyme</t>
  </si>
  <si>
    <t>E05005620</t>
  </si>
  <si>
    <t>Bracebridge Heath and Waddington East</t>
  </si>
  <si>
    <t>E05005621</t>
  </si>
  <si>
    <t>E05005622</t>
  </si>
  <si>
    <t>Cliff Villages</t>
  </si>
  <si>
    <t>E05005623</t>
  </si>
  <si>
    <t>Eagle, Swinderby and Witham St Hughs</t>
  </si>
  <si>
    <t>E05005624</t>
  </si>
  <si>
    <t>Heckington Rural</t>
  </si>
  <si>
    <t>E05005625</t>
  </si>
  <si>
    <t>Heighington and Washingborough</t>
  </si>
  <si>
    <t>E05005626</t>
  </si>
  <si>
    <t>Kirkby la Thorpe and South Kyme</t>
  </si>
  <si>
    <t>E05005627</t>
  </si>
  <si>
    <t>Leasingham and Rauceby</t>
  </si>
  <si>
    <t>E05005628</t>
  </si>
  <si>
    <t>Metheringham</t>
  </si>
  <si>
    <t>E05005629</t>
  </si>
  <si>
    <t>North Hykeham Forum</t>
  </si>
  <si>
    <t>E05005630</t>
  </si>
  <si>
    <t>North Hykeham Memorial</t>
  </si>
  <si>
    <t>E05005631</t>
  </si>
  <si>
    <t>North Hykeham Mill</t>
  </si>
  <si>
    <t>E05005632</t>
  </si>
  <si>
    <t>North Hykeham Moor</t>
  </si>
  <si>
    <t>E05005633</t>
  </si>
  <si>
    <t>North Hykeham Witham</t>
  </si>
  <si>
    <t>E05005634</t>
  </si>
  <si>
    <t>Osbournby</t>
  </si>
  <si>
    <t>E05005635</t>
  </si>
  <si>
    <t>Ruskington</t>
  </si>
  <si>
    <t>E05005636</t>
  </si>
  <si>
    <t>Skellingthorpe</t>
  </si>
  <si>
    <t>E05005637</t>
  </si>
  <si>
    <t>Sleaford Castle</t>
  </si>
  <si>
    <t>E05005638</t>
  </si>
  <si>
    <t>Sleaford Holdingham</t>
  </si>
  <si>
    <t>E05005639</t>
  </si>
  <si>
    <t>Sleaford Navigation</t>
  </si>
  <si>
    <t>E05005640</t>
  </si>
  <si>
    <t>Sleaford Quarrington and Mareham</t>
  </si>
  <si>
    <t>E05005641</t>
  </si>
  <si>
    <t>Sleaford Westholme</t>
  </si>
  <si>
    <t>E05005642</t>
  </si>
  <si>
    <t>Waddington West</t>
  </si>
  <si>
    <t>E05005643</t>
  </si>
  <si>
    <t>Sleaford CC (pt)</t>
  </si>
  <si>
    <t>* as created by The District of North Kesteven (Electoral Changes) Order 2006</t>
  </si>
  <si>
    <t>SOUTH HOLLAND DISTRICT  *</t>
  </si>
  <si>
    <t>Crowland and Deeping St Nicholas</t>
  </si>
  <si>
    <t>E05005644</t>
  </si>
  <si>
    <t>Donington, Quadring and Gosberton</t>
  </si>
  <si>
    <t>E05005645</t>
  </si>
  <si>
    <t>Fleet</t>
  </si>
  <si>
    <t>E05005646</t>
  </si>
  <si>
    <t>Gedney</t>
  </si>
  <si>
    <t>E05005647</t>
  </si>
  <si>
    <t>Holbeach Hurn</t>
  </si>
  <si>
    <t>E05005648</t>
  </si>
  <si>
    <t>Holbeach Town</t>
  </si>
  <si>
    <t>E05005649</t>
  </si>
  <si>
    <t>Long Sutton</t>
  </si>
  <si>
    <t>E05005650</t>
  </si>
  <si>
    <t>Moulton, Weston and Cowbit</t>
  </si>
  <si>
    <t>E05005651</t>
  </si>
  <si>
    <t>Pinchbeck and Surfleet</t>
  </si>
  <si>
    <t>E05005652</t>
  </si>
  <si>
    <t>Spalding Castle</t>
  </si>
  <si>
    <t>E05005653</t>
  </si>
  <si>
    <t>Spalding Monks House</t>
  </si>
  <si>
    <t>E05005654</t>
  </si>
  <si>
    <t>Spalding St John's</t>
  </si>
  <si>
    <t>E05005655</t>
  </si>
  <si>
    <t>Spalding St Mary's</t>
  </si>
  <si>
    <t>E05005656</t>
  </si>
  <si>
    <t>Spalding St Paul's</t>
  </si>
  <si>
    <t>E05005657</t>
  </si>
  <si>
    <t>Spalding Wygate</t>
  </si>
  <si>
    <t>E05005658</t>
  </si>
  <si>
    <t>Sutton Bridge</t>
  </si>
  <si>
    <t>E05005659</t>
  </si>
  <si>
    <t>The Saints</t>
  </si>
  <si>
    <t>E05005660</t>
  </si>
  <si>
    <t>Whaplode and Holbeach St John's</t>
  </si>
  <si>
    <t>E05005661</t>
  </si>
  <si>
    <t>South Holland and The Deepings CC (pt)</t>
  </si>
  <si>
    <t>* as created by The District of South Holland (Electoral Changes) Order 2007</t>
  </si>
  <si>
    <t>SOUTH KESTEVEN DISTRICT  *</t>
  </si>
  <si>
    <t>Aveland</t>
  </si>
  <si>
    <t>E05010148</t>
  </si>
  <si>
    <t>Belmont</t>
  </si>
  <si>
    <t>E05010149</t>
  </si>
  <si>
    <t>Belvoir</t>
  </si>
  <si>
    <t>E05010150</t>
  </si>
  <si>
    <t>Bourne Austerby</t>
  </si>
  <si>
    <t>E05010151</t>
  </si>
  <si>
    <t>Bourne East</t>
  </si>
  <si>
    <t>E05010152</t>
  </si>
  <si>
    <t>Bourne West</t>
  </si>
  <si>
    <t>E05010153</t>
  </si>
  <si>
    <t>Casewick</t>
  </si>
  <si>
    <t>E05010154</t>
  </si>
  <si>
    <t>E05010155</t>
  </si>
  <si>
    <t>Deeping St James</t>
  </si>
  <si>
    <t>E05010156</t>
  </si>
  <si>
    <t>Dole Wood</t>
  </si>
  <si>
    <t>E05010157</t>
  </si>
  <si>
    <t>E05010158</t>
  </si>
  <si>
    <t>Grantham Arnoldfield</t>
  </si>
  <si>
    <t>E05010159</t>
  </si>
  <si>
    <t>Grantham Barrowby Gate</t>
  </si>
  <si>
    <t>E05010160</t>
  </si>
  <si>
    <t>Grantham Earlesfield</t>
  </si>
  <si>
    <t>E05010161</t>
  </si>
  <si>
    <t>Grantham Harrowby</t>
  </si>
  <si>
    <t>E05010162</t>
  </si>
  <si>
    <t>Grantham St Vincent's</t>
  </si>
  <si>
    <t>E05010163</t>
  </si>
  <si>
    <t>Grantham St Wulfram's</t>
  </si>
  <si>
    <t>E05010164</t>
  </si>
  <si>
    <t>Grantham Springfield</t>
  </si>
  <si>
    <t>E05010165</t>
  </si>
  <si>
    <t>Isaac Newton</t>
  </si>
  <si>
    <t>E05010166</t>
  </si>
  <si>
    <t>Lincrest</t>
  </si>
  <si>
    <t>E05010167</t>
  </si>
  <si>
    <t>Loveden Heath</t>
  </si>
  <si>
    <t>E05010168</t>
  </si>
  <si>
    <t>Market &amp; West Deeping</t>
  </si>
  <si>
    <t>E05010169</t>
  </si>
  <si>
    <t>E05010170</t>
  </si>
  <si>
    <t>Peascliffe &amp; Ridgeway</t>
  </si>
  <si>
    <t>E05010171</t>
  </si>
  <si>
    <t>Stamford All Saints</t>
  </si>
  <si>
    <t>E05010172</t>
  </si>
  <si>
    <t>Stamford St George's</t>
  </si>
  <si>
    <t>E05010173</t>
  </si>
  <si>
    <t>Stamford St John's</t>
  </si>
  <si>
    <t>E05010174</t>
  </si>
  <si>
    <t>Stamford St Mary's</t>
  </si>
  <si>
    <t>E05010175</t>
  </si>
  <si>
    <t>Toller</t>
  </si>
  <si>
    <t>E05010176</t>
  </si>
  <si>
    <t>Viking</t>
  </si>
  <si>
    <t>E05010177</t>
  </si>
  <si>
    <t>* as created by The South Kesteven (Electoral Changes) Order 2014</t>
  </si>
  <si>
    <t>WEST LINDSEY DISTRICT  *</t>
  </si>
  <si>
    <t>Bardney</t>
  </si>
  <si>
    <t>E05009636</t>
  </si>
  <si>
    <t>Caistor and Yarborough</t>
  </si>
  <si>
    <t>E05009637</t>
  </si>
  <si>
    <t>Cherry Willingham</t>
  </si>
  <si>
    <t>E05009638</t>
  </si>
  <si>
    <t>Dunholme and Welton</t>
  </si>
  <si>
    <t>E05009639</t>
  </si>
  <si>
    <t>Gainsborough East</t>
  </si>
  <si>
    <t>E05009640</t>
  </si>
  <si>
    <t>Gainsborough North</t>
  </si>
  <si>
    <t>E05009641</t>
  </si>
  <si>
    <t>Gainsborough South-West</t>
  </si>
  <si>
    <t>E05009642</t>
  </si>
  <si>
    <t>Hemswell</t>
  </si>
  <si>
    <t>E05009643</t>
  </si>
  <si>
    <t>Kelsey Wold</t>
  </si>
  <si>
    <t>E05009644</t>
  </si>
  <si>
    <t>Lea</t>
  </si>
  <si>
    <t>E05009645</t>
  </si>
  <si>
    <t>Market Rasen</t>
  </si>
  <si>
    <t>E05009646</t>
  </si>
  <si>
    <t>Nettleham</t>
  </si>
  <si>
    <t>E05009647</t>
  </si>
  <si>
    <t>Saxilby</t>
  </si>
  <si>
    <t>E05009648</t>
  </si>
  <si>
    <t>Scampton</t>
  </si>
  <si>
    <t>E05009649</t>
  </si>
  <si>
    <t>Scotter and Blyton</t>
  </si>
  <si>
    <t>E05009650</t>
  </si>
  <si>
    <t>E05009651</t>
  </si>
  <si>
    <t>Sudbrooke</t>
  </si>
  <si>
    <t>E05009652</t>
  </si>
  <si>
    <t>Torksey</t>
  </si>
  <si>
    <t>E05009653</t>
  </si>
  <si>
    <t>Waddingham and Spital</t>
  </si>
  <si>
    <t>E05009654</t>
  </si>
  <si>
    <t>Wold View</t>
  </si>
  <si>
    <t>E05009655</t>
  </si>
  <si>
    <t>* as created by The West Lindsey (Electoral Changes) Order 2012</t>
  </si>
  <si>
    <t>CORBY BOROUGH</t>
  </si>
  <si>
    <t>DAVENTRY DISTRICT</t>
  </si>
  <si>
    <t>EAST NORTHAMPTONSHIRE DISTRICT</t>
  </si>
  <si>
    <t>KETTERING BOROUGH</t>
  </si>
  <si>
    <t>NORTHAMPTON BOROUGH</t>
  </si>
  <si>
    <t>SOUTH NORTHAMPTONSHIRE DISTRICT</t>
  </si>
  <si>
    <t>WELLINGBOROUGH BOROUGH</t>
  </si>
  <si>
    <t>Corby CC</t>
  </si>
  <si>
    <t>East Northamptonshire (pt)</t>
  </si>
  <si>
    <t>Kettering CC</t>
  </si>
  <si>
    <t>Northampton North BC</t>
  </si>
  <si>
    <t>Northampton (pt)</t>
  </si>
  <si>
    <t>Northampton South CC</t>
  </si>
  <si>
    <t>South Northamptonshire (pt)</t>
  </si>
  <si>
    <t>South Northamptonshire CC</t>
  </si>
  <si>
    <t>Wellingborough CC</t>
  </si>
  <si>
    <t>CORBY BOROUGH  *</t>
  </si>
  <si>
    <t>Beanfield</t>
  </si>
  <si>
    <t>E05010264</t>
  </si>
  <si>
    <t>E05010265</t>
  </si>
  <si>
    <t>Danesholme</t>
  </si>
  <si>
    <t>E05010266</t>
  </si>
  <si>
    <t>Kingswood &amp; Hazel Leys</t>
  </si>
  <si>
    <t>E05010267</t>
  </si>
  <si>
    <t>Lloyds</t>
  </si>
  <si>
    <t>E05010268</t>
  </si>
  <si>
    <t>E05010269</t>
  </si>
  <si>
    <t>Oakley North</t>
  </si>
  <si>
    <t>E05010270</t>
  </si>
  <si>
    <t>Oakley South</t>
  </si>
  <si>
    <t>E05010271</t>
  </si>
  <si>
    <t>Rowlett</t>
  </si>
  <si>
    <t>E05010272</t>
  </si>
  <si>
    <t>Rural West</t>
  </si>
  <si>
    <t>E05010273</t>
  </si>
  <si>
    <t>Stanion &amp; Corby Village</t>
  </si>
  <si>
    <t>E05010274</t>
  </si>
  <si>
    <t>Weldon &amp; Gretton</t>
  </si>
  <si>
    <t>E05010275</t>
  </si>
  <si>
    <t>Corby CC (pt)</t>
  </si>
  <si>
    <t>* as created by The Corby (Electoral Changes) Order 2014</t>
  </si>
  <si>
    <t>DAVENTRY DISTRICT  *</t>
  </si>
  <si>
    <t>Abbey North</t>
  </si>
  <si>
    <t>E05009012</t>
  </si>
  <si>
    <t>Abbey South</t>
  </si>
  <si>
    <t>E05009013</t>
  </si>
  <si>
    <t>Barby and Kilsby</t>
  </si>
  <si>
    <t>E05009014</t>
  </si>
  <si>
    <t>Braunston and Welton</t>
  </si>
  <si>
    <t>E05009015</t>
  </si>
  <si>
    <t>Brixworth</t>
  </si>
  <si>
    <t>E05009016</t>
  </si>
  <si>
    <t>Drayton</t>
  </si>
  <si>
    <t>E05009017</t>
  </si>
  <si>
    <t>Hill</t>
  </si>
  <si>
    <t>E05009018</t>
  </si>
  <si>
    <t>Long Buckby</t>
  </si>
  <si>
    <t>E05009019</t>
  </si>
  <si>
    <t>Moulton</t>
  </si>
  <si>
    <t>E05009020</t>
  </si>
  <si>
    <t>Ravensthorpe</t>
  </si>
  <si>
    <t>E05009021</t>
  </si>
  <si>
    <t>Spratton</t>
  </si>
  <si>
    <t>E05009022</t>
  </si>
  <si>
    <t>Walgrave</t>
  </si>
  <si>
    <t>E05009023</t>
  </si>
  <si>
    <t>Weedon</t>
  </si>
  <si>
    <t>E05009024</t>
  </si>
  <si>
    <t>Welford</t>
  </si>
  <si>
    <t>E05009025</t>
  </si>
  <si>
    <t>Woodford</t>
  </si>
  <si>
    <t>E05009026</t>
  </si>
  <si>
    <t>Yelvertoft</t>
  </si>
  <si>
    <t>E05009027</t>
  </si>
  <si>
    <t>South Northamptonshire CC (pt)</t>
  </si>
  <si>
    <t>* as created by The Daventry (Electoral Changes) Order 2012</t>
  </si>
  <si>
    <t>EAST NORTHAMPTONSHIRE DISTRICT  *</t>
  </si>
  <si>
    <t>Barnwell</t>
  </si>
  <si>
    <t>E05005965</t>
  </si>
  <si>
    <t>Fineshade</t>
  </si>
  <si>
    <t>E05005966</t>
  </si>
  <si>
    <t>Higham Ferrers Chichele</t>
  </si>
  <si>
    <t>E05010761</t>
  </si>
  <si>
    <t>Higham Ferrers Lancaster</t>
  </si>
  <si>
    <t>E05010762</t>
  </si>
  <si>
    <t>Irthlingborough John Pyel</t>
  </si>
  <si>
    <t>E05010763</t>
  </si>
  <si>
    <t>Irthlingborough Waterloo</t>
  </si>
  <si>
    <t>E05010764</t>
  </si>
  <si>
    <t>King's Forest</t>
  </si>
  <si>
    <t>E05005971</t>
  </si>
  <si>
    <t>Lower Nene</t>
  </si>
  <si>
    <t>E05005972</t>
  </si>
  <si>
    <t>Lyveden</t>
  </si>
  <si>
    <t>E05005973</t>
  </si>
  <si>
    <t>Oundle</t>
  </si>
  <si>
    <t>E05005974</t>
  </si>
  <si>
    <t>Prebendal</t>
  </si>
  <si>
    <t>E05005975</t>
  </si>
  <si>
    <t>Raunds Saxon</t>
  </si>
  <si>
    <t>E05010765</t>
  </si>
  <si>
    <t>Raunds Windmill</t>
  </si>
  <si>
    <t>E05010766</t>
  </si>
  <si>
    <t>Rushden Bates</t>
  </si>
  <si>
    <t>E05010767</t>
  </si>
  <si>
    <t>Rushden Hayden</t>
  </si>
  <si>
    <t>E05010768</t>
  </si>
  <si>
    <t>Rushden Pemberton</t>
  </si>
  <si>
    <t>E05010769</t>
  </si>
  <si>
    <t>Rushden Sartoris</t>
  </si>
  <si>
    <t>E05010770</t>
  </si>
  <si>
    <t>Rushden Spencer</t>
  </si>
  <si>
    <t>E05005982</t>
  </si>
  <si>
    <t>Stanwick</t>
  </si>
  <si>
    <t>E05010771</t>
  </si>
  <si>
    <t>Thrapston Lakes</t>
  </si>
  <si>
    <t>E05010772</t>
  </si>
  <si>
    <t>Thrapston Market</t>
  </si>
  <si>
    <t>E05010773</t>
  </si>
  <si>
    <t>E05005986</t>
  </si>
  <si>
    <t>Wellingborough CC (pt)</t>
  </si>
  <si>
    <t>* as created by The East Northamptonshire (Electoral Changes) Order 2007 and</t>
  </si>
  <si>
    <t xml:space="preserve">   as altered by The East Northamptonshire (Electoral Changes) Order 2015</t>
  </si>
  <si>
    <t>KETTERING BOROUGH  *</t>
  </si>
  <si>
    <t>E05005987</t>
  </si>
  <si>
    <t>Avondale Grange</t>
  </si>
  <si>
    <t>E05005988</t>
  </si>
  <si>
    <t>Barton</t>
  </si>
  <si>
    <t>E05005989</t>
  </si>
  <si>
    <t>Brambleside</t>
  </si>
  <si>
    <t>E05008549</t>
  </si>
  <si>
    <t>Burton Latimer</t>
  </si>
  <si>
    <t>E05005991</t>
  </si>
  <si>
    <t>Desborough Loatland</t>
  </si>
  <si>
    <t>E05005992</t>
  </si>
  <si>
    <t>Desborough St Giles</t>
  </si>
  <si>
    <t>E05005993</t>
  </si>
  <si>
    <t>Ise Lodge</t>
  </si>
  <si>
    <t>E05005994</t>
  </si>
  <si>
    <t>E05005995</t>
  </si>
  <si>
    <t>Pipers Hill</t>
  </si>
  <si>
    <t>E05005996</t>
  </si>
  <si>
    <t>Queen Eleanor and Buccleuch</t>
  </si>
  <si>
    <t>E05008550</t>
  </si>
  <si>
    <t>Rothwell</t>
  </si>
  <si>
    <t>E05005998</t>
  </si>
  <si>
    <t>St Michael's and Wicksteed</t>
  </si>
  <si>
    <t>E05005999</t>
  </si>
  <si>
    <t>E05006000</t>
  </si>
  <si>
    <t>E05006001</t>
  </si>
  <si>
    <t>Welland</t>
  </si>
  <si>
    <t>E05006002</t>
  </si>
  <si>
    <t>William Knibb</t>
  </si>
  <si>
    <t>E05006003</t>
  </si>
  <si>
    <t>Kettering CC (pt)</t>
  </si>
  <si>
    <t>* as created by The Borough of Kettering (Electoral Changes) Order 2006 and</t>
  </si>
  <si>
    <t xml:space="preserve">   as altered by The Kettering (Related Altertations) Order 2009</t>
  </si>
  <si>
    <t>NORTHAMPTON BOROUGH  *</t>
  </si>
  <si>
    <t>Abington</t>
  </si>
  <si>
    <t>E05008824</t>
  </si>
  <si>
    <t>Billing</t>
  </si>
  <si>
    <t>E05008825</t>
  </si>
  <si>
    <t>Boothville</t>
  </si>
  <si>
    <t>E05008826</t>
  </si>
  <si>
    <t>E05008827</t>
  </si>
  <si>
    <t>E05008828</t>
  </si>
  <si>
    <t>Delapre and Briar Hill</t>
  </si>
  <si>
    <t>E05008829</t>
  </si>
  <si>
    <t>East Hunsbury</t>
  </si>
  <si>
    <t>E05008830</t>
  </si>
  <si>
    <t>Eastfield</t>
  </si>
  <si>
    <t>E05008831</t>
  </si>
  <si>
    <t>Headlands</t>
  </si>
  <si>
    <t>E05008832</t>
  </si>
  <si>
    <t>Kings Heath</t>
  </si>
  <si>
    <t>E05008833</t>
  </si>
  <si>
    <t>Kingsley</t>
  </si>
  <si>
    <t>E05008834</t>
  </si>
  <si>
    <t>Kingsthorpe</t>
  </si>
  <si>
    <t>E05008835</t>
  </si>
  <si>
    <t>Nene Valley</t>
  </si>
  <si>
    <t>E05008836</t>
  </si>
  <si>
    <t>New Duston</t>
  </si>
  <si>
    <t>E05008837</t>
  </si>
  <si>
    <t>Obelisk</t>
  </si>
  <si>
    <t>E05008838</t>
  </si>
  <si>
    <t>Old Duston</t>
  </si>
  <si>
    <t>E05008839</t>
  </si>
  <si>
    <t>E05008840</t>
  </si>
  <si>
    <t>Parklands</t>
  </si>
  <si>
    <t>E05008841</t>
  </si>
  <si>
    <t>Phippsville</t>
  </si>
  <si>
    <t>E05008842</t>
  </si>
  <si>
    <t>Rectory Farm</t>
  </si>
  <si>
    <t>E05008843</t>
  </si>
  <si>
    <t>Riverside</t>
  </si>
  <si>
    <t>E05008844</t>
  </si>
  <si>
    <t>Rushmills</t>
  </si>
  <si>
    <t>E05008845</t>
  </si>
  <si>
    <t>E05008846</t>
  </si>
  <si>
    <t>E05008847</t>
  </si>
  <si>
    <t>Semilong</t>
  </si>
  <si>
    <t>E05008848</t>
  </si>
  <si>
    <t>Spencer</t>
  </si>
  <si>
    <t>E05008849</t>
  </si>
  <si>
    <t>Spring Park</t>
  </si>
  <si>
    <t>E05008850</t>
  </si>
  <si>
    <t>Sunnyside</t>
  </si>
  <si>
    <t>E05008851</t>
  </si>
  <si>
    <t>Talavera</t>
  </si>
  <si>
    <t>E05008852</t>
  </si>
  <si>
    <t>E05008853</t>
  </si>
  <si>
    <t>Upton</t>
  </si>
  <si>
    <t>E05008854</t>
  </si>
  <si>
    <t>West Hunsbury</t>
  </si>
  <si>
    <t>E05008855</t>
  </si>
  <si>
    <t>Westone</t>
  </si>
  <si>
    <t>E05008856</t>
  </si>
  <si>
    <t>Northampton South CC (pt)</t>
  </si>
  <si>
    <t>* as created by The Northampton (Electoral Changes) Order 2011</t>
  </si>
  <si>
    <t>SOUTH NORTHAMPTONSHIRE DISTRICT  *</t>
  </si>
  <si>
    <t>Astwell</t>
  </si>
  <si>
    <t>E05006027</t>
  </si>
  <si>
    <t>Blakesley and Cote</t>
  </si>
  <si>
    <t>E05006028</t>
  </si>
  <si>
    <t>Blisworth and Roade</t>
  </si>
  <si>
    <t>E05006029</t>
  </si>
  <si>
    <t>Brackley East</t>
  </si>
  <si>
    <t>E05006030</t>
  </si>
  <si>
    <t>Brackley South</t>
  </si>
  <si>
    <t>E05006031</t>
  </si>
  <si>
    <t>Brackley West</t>
  </si>
  <si>
    <t>E05006032</t>
  </si>
  <si>
    <t>Brafield and Yardley</t>
  </si>
  <si>
    <t>E05006033</t>
  </si>
  <si>
    <t>Cosgrove and Grafton</t>
  </si>
  <si>
    <t>E05006034</t>
  </si>
  <si>
    <t>Danvers and Wardoun</t>
  </si>
  <si>
    <t>E05006035</t>
  </si>
  <si>
    <t>Deanshanger</t>
  </si>
  <si>
    <t>E05006036</t>
  </si>
  <si>
    <t>Grange Park</t>
  </si>
  <si>
    <t>E05006037</t>
  </si>
  <si>
    <t>Hackleton</t>
  </si>
  <si>
    <t>E05006038</t>
  </si>
  <si>
    <t>Harpole and Grange</t>
  </si>
  <si>
    <t>E05006039</t>
  </si>
  <si>
    <t>Heyfords and Bugbrooke</t>
  </si>
  <si>
    <t>E05006040</t>
  </si>
  <si>
    <t>Kings Sutton</t>
  </si>
  <si>
    <t>E05006041</t>
  </si>
  <si>
    <t>Kingthorn</t>
  </si>
  <si>
    <t>E05006042</t>
  </si>
  <si>
    <t>Little Brook</t>
  </si>
  <si>
    <t>E05006043</t>
  </si>
  <si>
    <t>Middleton Cheney</t>
  </si>
  <si>
    <t>E05006044</t>
  </si>
  <si>
    <t>Old Stratford</t>
  </si>
  <si>
    <t>E05006045</t>
  </si>
  <si>
    <t>Salcey</t>
  </si>
  <si>
    <t>E05006046</t>
  </si>
  <si>
    <t>Silverstone</t>
  </si>
  <si>
    <t>E05006047</t>
  </si>
  <si>
    <t>Steane</t>
  </si>
  <si>
    <t>E05006048</t>
  </si>
  <si>
    <t>Tove</t>
  </si>
  <si>
    <t>E05006049</t>
  </si>
  <si>
    <t>Towcester Brook</t>
  </si>
  <si>
    <t>E05006050</t>
  </si>
  <si>
    <t>Towcester Mill</t>
  </si>
  <si>
    <t>E05006051</t>
  </si>
  <si>
    <t>Washington</t>
  </si>
  <si>
    <t>E05006052</t>
  </si>
  <si>
    <t>Whittlewood</t>
  </si>
  <si>
    <t>E05006053</t>
  </si>
  <si>
    <t>* as created by The District of South Northamptonshire (Electoral Changes) Order 2006 and</t>
  </si>
  <si>
    <t xml:space="preserve">   The District of South Northamptonshire (Electoral Changes) (Amendment) Order 2007</t>
  </si>
  <si>
    <t>WELLINGBOROUGH BOROUGH  *</t>
  </si>
  <si>
    <t>Bozeat</t>
  </si>
  <si>
    <t>E05010028</t>
  </si>
  <si>
    <t>Brickhill</t>
  </si>
  <si>
    <t>E05010029</t>
  </si>
  <si>
    <t>Croyland</t>
  </si>
  <si>
    <t>E05010030</t>
  </si>
  <si>
    <t>Earls Barton</t>
  </si>
  <si>
    <t>E05010031</t>
  </si>
  <si>
    <t>Finedon</t>
  </si>
  <si>
    <t>E05010032</t>
  </si>
  <si>
    <t>Great Doddington &amp; Wilby</t>
  </si>
  <si>
    <t>E05010033</t>
  </si>
  <si>
    <t>Harrowden &amp; Sywell</t>
  </si>
  <si>
    <t>E05010034</t>
  </si>
  <si>
    <t>E05010035</t>
  </si>
  <si>
    <t>Irchester</t>
  </si>
  <si>
    <t>E05010036</t>
  </si>
  <si>
    <t>Isebrook</t>
  </si>
  <si>
    <t>E05010037</t>
  </si>
  <si>
    <t>Queensway</t>
  </si>
  <si>
    <t>E05010038</t>
  </si>
  <si>
    <t>Redwell</t>
  </si>
  <si>
    <t>E05010039</t>
  </si>
  <si>
    <t>Rixon</t>
  </si>
  <si>
    <t>E05010040</t>
  </si>
  <si>
    <t>Swanspool</t>
  </si>
  <si>
    <t>E05010041</t>
  </si>
  <si>
    <t>Victoria</t>
  </si>
  <si>
    <t>E05010042</t>
  </si>
  <si>
    <t>Wollaston</t>
  </si>
  <si>
    <t>E05010043</t>
  </si>
  <si>
    <t>* as created by The Wellingborough (Electoral Changes) Order 2014</t>
  </si>
  <si>
    <t>NOTTINGHAMSHIRE  *</t>
  </si>
  <si>
    <t>CITY OF NOTTINGHAM  *</t>
  </si>
  <si>
    <t>ASHFIELD DISTRICT</t>
  </si>
  <si>
    <t>BASSETLAW DISTRICT</t>
  </si>
  <si>
    <t>BROXTOWE BOROUGH</t>
  </si>
  <si>
    <t>GEDLING BOROUGH</t>
  </si>
  <si>
    <t>MANSFIELD DISTRICT</t>
  </si>
  <si>
    <t>NEWARK AND SHERWOOD DISTRICT</t>
  </si>
  <si>
    <t>RUSHCLIFFE BOROUGH</t>
  </si>
  <si>
    <t>Ashfield CC</t>
  </si>
  <si>
    <t>Ashfield (pt)</t>
  </si>
  <si>
    <t>Broxtowe (pt)</t>
  </si>
  <si>
    <t>Bassetlaw CC</t>
  </si>
  <si>
    <t>Bassetlaw (pt)</t>
  </si>
  <si>
    <t>Broxtowe and Hucknall CC</t>
  </si>
  <si>
    <t>Nottingham (pt)</t>
  </si>
  <si>
    <t>Mansfield CC</t>
  </si>
  <si>
    <t>Newark CC</t>
  </si>
  <si>
    <t>Newark and Sherwood (pt)</t>
  </si>
  <si>
    <t>Nottingham East and Carlton BC</t>
  </si>
  <si>
    <t>Gedling (pt)</t>
  </si>
  <si>
    <t>Nottingham North BC</t>
  </si>
  <si>
    <t>Nottingham South and Beeston BC</t>
  </si>
  <si>
    <t>Sherwood CC</t>
  </si>
  <si>
    <t>West Bridgford CC</t>
  </si>
  <si>
    <t>* as created by The Nottinghamshire (City of Nottingham) (Structural Change) Order 1996</t>
  </si>
  <si>
    <t>E05001822</t>
  </si>
  <si>
    <t>Aspley</t>
  </si>
  <si>
    <t>E05001823</t>
  </si>
  <si>
    <t>Basford</t>
  </si>
  <si>
    <t>E05001824</t>
  </si>
  <si>
    <t>Berridge</t>
  </si>
  <si>
    <t>E05001825</t>
  </si>
  <si>
    <t>Bestwood</t>
  </si>
  <si>
    <t>E05001826</t>
  </si>
  <si>
    <t>Bilborough</t>
  </si>
  <si>
    <t>E05001827</t>
  </si>
  <si>
    <t>Bridge</t>
  </si>
  <si>
    <t>E05001828</t>
  </si>
  <si>
    <t>Bulwell</t>
  </si>
  <si>
    <t>E05001829</t>
  </si>
  <si>
    <t>Bulwell Forest</t>
  </si>
  <si>
    <t>E05001830</t>
  </si>
  <si>
    <t>Clifton North</t>
  </si>
  <si>
    <t>E05001831</t>
  </si>
  <si>
    <t>Clifton South</t>
  </si>
  <si>
    <t>E05001832</t>
  </si>
  <si>
    <t>Dales</t>
  </si>
  <si>
    <t>E05001833</t>
  </si>
  <si>
    <t>Dunkirk and Lenton</t>
  </si>
  <si>
    <t>E05001834</t>
  </si>
  <si>
    <t>Leen Valley</t>
  </si>
  <si>
    <t>E05001835</t>
  </si>
  <si>
    <t>Mapperley</t>
  </si>
  <si>
    <t>E05001836</t>
  </si>
  <si>
    <t>Radford and Park</t>
  </si>
  <si>
    <t>E05001837</t>
  </si>
  <si>
    <t>St Ann's</t>
  </si>
  <si>
    <t>E05001838</t>
  </si>
  <si>
    <t>Sherwood</t>
  </si>
  <si>
    <t>E05001839</t>
  </si>
  <si>
    <t>Wollaton East and Lenton Abbey</t>
  </si>
  <si>
    <t>E05001840</t>
  </si>
  <si>
    <t>Wollaton West</t>
  </si>
  <si>
    <t>E05001841</t>
  </si>
  <si>
    <t>Broxtowe and Hucknall CC (pt)</t>
  </si>
  <si>
    <t>Nottingham South and Beeston BC (pt)</t>
  </si>
  <si>
    <t>West Bridgford CC (pt)</t>
  </si>
  <si>
    <t>* as created by The City of Nottingham (Electoral Changes) Order 2000</t>
  </si>
  <si>
    <t>ASHFIELD DISTRICT  *</t>
  </si>
  <si>
    <t>Abbey Hill</t>
  </si>
  <si>
    <t>E05010673</t>
  </si>
  <si>
    <t>Annesley &amp; Kirkby Woodhouse</t>
  </si>
  <si>
    <t>E05010674</t>
  </si>
  <si>
    <t>Ashfields</t>
  </si>
  <si>
    <t>E05010675</t>
  </si>
  <si>
    <t>Carsic</t>
  </si>
  <si>
    <t>E05010676</t>
  </si>
  <si>
    <t>Central &amp; New Cross</t>
  </si>
  <si>
    <t>E05010677</t>
  </si>
  <si>
    <t>Hucknall Central</t>
  </si>
  <si>
    <t>E05010678</t>
  </si>
  <si>
    <t>Hucknall North</t>
  </si>
  <si>
    <t>E05010679</t>
  </si>
  <si>
    <t>Hucknall South</t>
  </si>
  <si>
    <t>E05010680</t>
  </si>
  <si>
    <t>Hucknall West</t>
  </si>
  <si>
    <t>E05010681</t>
  </si>
  <si>
    <t>Huthwaite &amp; Brierley</t>
  </si>
  <si>
    <t>E05010682</t>
  </si>
  <si>
    <t>Jacksdale</t>
  </si>
  <si>
    <t>E05010683</t>
  </si>
  <si>
    <t>Kingsway</t>
  </si>
  <si>
    <t>E05010684</t>
  </si>
  <si>
    <t>Kirkby Cross &amp; Portland</t>
  </si>
  <si>
    <t>E05010685</t>
  </si>
  <si>
    <t>Larwood</t>
  </si>
  <si>
    <t>E05010686</t>
  </si>
  <si>
    <t>Leamington</t>
  </si>
  <si>
    <t>E05010687</t>
  </si>
  <si>
    <t>E05010688</t>
  </si>
  <si>
    <t>Selston</t>
  </si>
  <si>
    <t>E05010689</t>
  </si>
  <si>
    <t>Skegby</t>
  </si>
  <si>
    <t>E05010690</t>
  </si>
  <si>
    <t>Stanton Hill &amp; Teversal</t>
  </si>
  <si>
    <t>E05010691</t>
  </si>
  <si>
    <t>Summit</t>
  </si>
  <si>
    <t>E05010692</t>
  </si>
  <si>
    <t>Sutton Junction &amp; Harlow Wood</t>
  </si>
  <si>
    <t>E05010693</t>
  </si>
  <si>
    <t>The Dales</t>
  </si>
  <si>
    <t>E05010694</t>
  </si>
  <si>
    <t>Underwood</t>
  </si>
  <si>
    <t>E05010695</t>
  </si>
  <si>
    <t/>
  </si>
  <si>
    <t>Ashfield CC (pt)</t>
  </si>
  <si>
    <t>* as created by The Ashfield (Electoral Changes) Order 2015</t>
  </si>
  <si>
    <t>BASSETLAW DISTRICT  *</t>
  </si>
  <si>
    <t>Beckingham</t>
  </si>
  <si>
    <t>E05006377</t>
  </si>
  <si>
    <t>Blyth</t>
  </si>
  <si>
    <t>E05006378</t>
  </si>
  <si>
    <t>Carlton</t>
  </si>
  <si>
    <t>E05006379</t>
  </si>
  <si>
    <t>Clayworth</t>
  </si>
  <si>
    <t>E05006380</t>
  </si>
  <si>
    <t>East Markham</t>
  </si>
  <si>
    <t>E05006381</t>
  </si>
  <si>
    <t>East Retford East</t>
  </si>
  <si>
    <t>E05006382</t>
  </si>
  <si>
    <t>East Retford North</t>
  </si>
  <si>
    <t>E05006383</t>
  </si>
  <si>
    <t>East Retford South</t>
  </si>
  <si>
    <t>E05006384</t>
  </si>
  <si>
    <t>East Retford West</t>
  </si>
  <si>
    <t>E05006385</t>
  </si>
  <si>
    <t>Everton</t>
  </si>
  <si>
    <t>E05006386</t>
  </si>
  <si>
    <t>Harworth</t>
  </si>
  <si>
    <t>E05006387</t>
  </si>
  <si>
    <t>Langold</t>
  </si>
  <si>
    <t>E05006388</t>
  </si>
  <si>
    <t>E05006389</t>
  </si>
  <si>
    <t>Rampton</t>
  </si>
  <si>
    <t>E05006390</t>
  </si>
  <si>
    <t>Ranskill</t>
  </si>
  <si>
    <t>E05006391</t>
  </si>
  <si>
    <t>Sturton</t>
  </si>
  <si>
    <t>E05006392</t>
  </si>
  <si>
    <t>E05006393</t>
  </si>
  <si>
    <t>Tuxford and Trent</t>
  </si>
  <si>
    <t>E05006394</t>
  </si>
  <si>
    <t>Welbeck</t>
  </si>
  <si>
    <t>E05006395</t>
  </si>
  <si>
    <t>Worksop East</t>
  </si>
  <si>
    <t>E05006396</t>
  </si>
  <si>
    <t>Worksop North</t>
  </si>
  <si>
    <t>E05006397</t>
  </si>
  <si>
    <t>Worksop North East</t>
  </si>
  <si>
    <t>E05006398</t>
  </si>
  <si>
    <t>Worksop North West</t>
  </si>
  <si>
    <t>E05006399</t>
  </si>
  <si>
    <t>Worksop South</t>
  </si>
  <si>
    <t>E05006400</t>
  </si>
  <si>
    <t>Worksop South East</t>
  </si>
  <si>
    <t>E05006401</t>
  </si>
  <si>
    <t>Newark CC (pt)</t>
  </si>
  <si>
    <t>* as created by The District of Bassetlaw (Electoral Changes) Order 2000</t>
  </si>
  <si>
    <t>BROXTOWE BOROUGH  *</t>
  </si>
  <si>
    <t>Attenborough &amp; Chilwell East</t>
  </si>
  <si>
    <t>E05010514</t>
  </si>
  <si>
    <t>Awsworth, Cossall &amp; Trowell</t>
  </si>
  <si>
    <t>E05010515</t>
  </si>
  <si>
    <t>Beeston Central</t>
  </si>
  <si>
    <t>E05010516</t>
  </si>
  <si>
    <t>Beeston North</t>
  </si>
  <si>
    <t>E05010517</t>
  </si>
  <si>
    <t>Beeston Rylands</t>
  </si>
  <si>
    <t>E05010518</t>
  </si>
  <si>
    <t>Beeston West</t>
  </si>
  <si>
    <t>E05010519</t>
  </si>
  <si>
    <t>Bramcote</t>
  </si>
  <si>
    <t>E05010520</t>
  </si>
  <si>
    <t>Brinsley</t>
  </si>
  <si>
    <t>E05010521</t>
  </si>
  <si>
    <t>Chilwell West</t>
  </si>
  <si>
    <t>E05010522</t>
  </si>
  <si>
    <t>Eastwood Hall</t>
  </si>
  <si>
    <t>E05010523</t>
  </si>
  <si>
    <t>Eastwood Hilltop</t>
  </si>
  <si>
    <t>E05010524</t>
  </si>
  <si>
    <t>Eastwood St Mary's</t>
  </si>
  <si>
    <t>E05010525</t>
  </si>
  <si>
    <t>Greasley</t>
  </si>
  <si>
    <t>E05010526</t>
  </si>
  <si>
    <t>Kimberley</t>
  </si>
  <si>
    <t>E05010527</t>
  </si>
  <si>
    <t>Nuthall East &amp; Strelley</t>
  </si>
  <si>
    <t>E05010528</t>
  </si>
  <si>
    <t>Stapleford North</t>
  </si>
  <si>
    <t>E05010529</t>
  </si>
  <si>
    <t>Stapleford South East</t>
  </si>
  <si>
    <t>E05010530</t>
  </si>
  <si>
    <t>Stapleford South West</t>
  </si>
  <si>
    <t>E05010531</t>
  </si>
  <si>
    <t>Toton &amp; Chilwell Meadows</t>
  </si>
  <si>
    <t>E05010532</t>
  </si>
  <si>
    <t>Watnall &amp; Nuthall West</t>
  </si>
  <si>
    <t>E05010533</t>
  </si>
  <si>
    <t>* as created by The Broxtowe (Electoral Changes) Order 2015</t>
  </si>
  <si>
    <t>GEDLING BOROUGH  *</t>
  </si>
  <si>
    <t>Bestwood St Albans</t>
  </si>
  <si>
    <t>E05009689</t>
  </si>
  <si>
    <t>Calverton</t>
  </si>
  <si>
    <t>E05009690</t>
  </si>
  <si>
    <t>E05009691</t>
  </si>
  <si>
    <t>Carlton Hill</t>
  </si>
  <si>
    <t>E05009692</t>
  </si>
  <si>
    <t>Cavendish</t>
  </si>
  <si>
    <t>E05009693</t>
  </si>
  <si>
    <t>Colwick</t>
  </si>
  <si>
    <t>E05009694</t>
  </si>
  <si>
    <t>Coppice</t>
  </si>
  <si>
    <t>E05009695</t>
  </si>
  <si>
    <t>Daybrook</t>
  </si>
  <si>
    <t>E05009696</t>
  </si>
  <si>
    <t>Dumbles</t>
  </si>
  <si>
    <t>E05009697</t>
  </si>
  <si>
    <t>Ernehale</t>
  </si>
  <si>
    <t>E05009698</t>
  </si>
  <si>
    <t>E05009699</t>
  </si>
  <si>
    <t>Netherfield</t>
  </si>
  <si>
    <t>E05009700</t>
  </si>
  <si>
    <t>Newstead Abbey</t>
  </si>
  <si>
    <t>E05009701</t>
  </si>
  <si>
    <t>Phoenix</t>
  </si>
  <si>
    <t>E05009702</t>
  </si>
  <si>
    <t>Plains</t>
  </si>
  <si>
    <t>E05009703</t>
  </si>
  <si>
    <t>Porchester</t>
  </si>
  <si>
    <t>E05009704</t>
  </si>
  <si>
    <t>Redhill</t>
  </si>
  <si>
    <t>E05009705</t>
  </si>
  <si>
    <t>Trent Valley</t>
  </si>
  <si>
    <t>E05009706</t>
  </si>
  <si>
    <t>Woodthorpe</t>
  </si>
  <si>
    <t>E05009707</t>
  </si>
  <si>
    <t>Nottingham East and Carlton BC (pt)</t>
  </si>
  <si>
    <t>Sherwood CC (pt)</t>
  </si>
  <si>
    <t>* as created by The Gedling (Electoral Changes) Order 2014</t>
  </si>
  <si>
    <t>MANSFIELD DISTRICT  *</t>
  </si>
  <si>
    <t>Abbott</t>
  </si>
  <si>
    <t>E05008857</t>
  </si>
  <si>
    <t>E05008858</t>
  </si>
  <si>
    <t>Brick Kiln</t>
  </si>
  <si>
    <t>E05008859</t>
  </si>
  <si>
    <t>Broomhill</t>
  </si>
  <si>
    <t>E05008860</t>
  </si>
  <si>
    <t>Bull Farm and Pleasley Hill</t>
  </si>
  <si>
    <t>E05008861</t>
  </si>
  <si>
    <t>Carr Bank</t>
  </si>
  <si>
    <t>E05008862</t>
  </si>
  <si>
    <t>Eakring</t>
  </si>
  <si>
    <t>E05008863</t>
  </si>
  <si>
    <t>Grange Farm</t>
  </si>
  <si>
    <t>E05008864</t>
  </si>
  <si>
    <t>Holly</t>
  </si>
  <si>
    <t>E05008865</t>
  </si>
  <si>
    <t>Hornby</t>
  </si>
  <si>
    <t>E05008866</t>
  </si>
  <si>
    <t>Kings Walk</t>
  </si>
  <si>
    <t>E05008867</t>
  </si>
  <si>
    <t>E05008868</t>
  </si>
  <si>
    <t>Ladybrook</t>
  </si>
  <si>
    <t>E05008869</t>
  </si>
  <si>
    <t>Lindhurst</t>
  </si>
  <si>
    <t>E05008870</t>
  </si>
  <si>
    <t>Ling Forest</t>
  </si>
  <si>
    <t>E05008871</t>
  </si>
  <si>
    <t>E05008872</t>
  </si>
  <si>
    <t>Market Warsop</t>
  </si>
  <si>
    <t>E05008873</t>
  </si>
  <si>
    <t>Maun Valley</t>
  </si>
  <si>
    <t>E05008874</t>
  </si>
  <si>
    <t>Meden</t>
  </si>
  <si>
    <t>E05008875</t>
  </si>
  <si>
    <t>E05008876</t>
  </si>
  <si>
    <t>Newgate</t>
  </si>
  <si>
    <t>E05008877</t>
  </si>
  <si>
    <t>Newlands</t>
  </si>
  <si>
    <t>E05008878</t>
  </si>
  <si>
    <t>Oak Tree</t>
  </si>
  <si>
    <t>E05008879</t>
  </si>
  <si>
    <t>Oakham</t>
  </si>
  <si>
    <t>E05008880</t>
  </si>
  <si>
    <t>Park Hall</t>
  </si>
  <si>
    <t>E05008881</t>
  </si>
  <si>
    <t>Peafields</t>
  </si>
  <si>
    <t>E05008882</t>
  </si>
  <si>
    <t>Penniment</t>
  </si>
  <si>
    <t>E05008883</t>
  </si>
  <si>
    <t>Portland</t>
  </si>
  <si>
    <t>E05008884</t>
  </si>
  <si>
    <t>Racecourse</t>
  </si>
  <si>
    <t>E05008885</t>
  </si>
  <si>
    <t>Ransom Wood</t>
  </si>
  <si>
    <t>E05008886</t>
  </si>
  <si>
    <t>Sandhurst</t>
  </si>
  <si>
    <t>E05008887</t>
  </si>
  <si>
    <t>E05008888</t>
  </si>
  <si>
    <t>Warsop Carrs</t>
  </si>
  <si>
    <t>E05008889</t>
  </si>
  <si>
    <t>Woodhouse</t>
  </si>
  <si>
    <t>E05008890</t>
  </si>
  <si>
    <t>E05008891</t>
  </si>
  <si>
    <t>Yeoman Hill</t>
  </si>
  <si>
    <t>E05008892</t>
  </si>
  <si>
    <t>* as created by The Mansfield (Electoral Changes) Order 2011</t>
  </si>
  <si>
    <t>NEWARK AND SHERWOOD DISTRICT  *</t>
  </si>
  <si>
    <t>Balderton North &amp; Coddington</t>
  </si>
  <si>
    <t>E05010063</t>
  </si>
  <si>
    <t>Balderton South</t>
  </si>
  <si>
    <t>E05010064</t>
  </si>
  <si>
    <t>Beacon</t>
  </si>
  <si>
    <t>E05010065</t>
  </si>
  <si>
    <t>Bilsthorpe</t>
  </si>
  <si>
    <t>E05010066</t>
  </si>
  <si>
    <t>Boughton</t>
  </si>
  <si>
    <t>E05010067</t>
  </si>
  <si>
    <t>E05010068</t>
  </si>
  <si>
    <t>E05010069</t>
  </si>
  <si>
    <t>Collingham</t>
  </si>
  <si>
    <t>E05010070</t>
  </si>
  <si>
    <t>Devon</t>
  </si>
  <si>
    <t>E05010071</t>
  </si>
  <si>
    <t>Dover Beck</t>
  </si>
  <si>
    <t>E05010072</t>
  </si>
  <si>
    <t>Edwinstowe &amp; Clipstone</t>
  </si>
  <si>
    <t>E05010073</t>
  </si>
  <si>
    <t>Farndon &amp; Fernwood</t>
  </si>
  <si>
    <t>E05010074</t>
  </si>
  <si>
    <t>Farnsfield</t>
  </si>
  <si>
    <t>E05010075</t>
  </si>
  <si>
    <t>Lowdham</t>
  </si>
  <si>
    <t>E05010076</t>
  </si>
  <si>
    <t>Muskham</t>
  </si>
  <si>
    <t>E05010077</t>
  </si>
  <si>
    <t>Ollerton</t>
  </si>
  <si>
    <t>E05010078</t>
  </si>
  <si>
    <t>Rainworth North &amp; Rufford</t>
  </si>
  <si>
    <t>E05010079</t>
  </si>
  <si>
    <t>Rainworth South &amp; Blidworth</t>
  </si>
  <si>
    <t>E05010080</t>
  </si>
  <si>
    <t>Southwell</t>
  </si>
  <si>
    <t>E05010081</t>
  </si>
  <si>
    <t>Sutton-on-Trent</t>
  </si>
  <si>
    <t>E05010082</t>
  </si>
  <si>
    <t>Trent</t>
  </si>
  <si>
    <t>E05010083</t>
  </si>
  <si>
    <t>* as created by The District of Newark and Sherwood (Electoral Changes) Order 2007</t>
  </si>
  <si>
    <t>RUSHCLIFFE BOROUGH  *</t>
  </si>
  <si>
    <t>E05009708</t>
  </si>
  <si>
    <t>Bingham East</t>
  </si>
  <si>
    <t>E05009709</t>
  </si>
  <si>
    <t>Bingham West</t>
  </si>
  <si>
    <t>E05009710</t>
  </si>
  <si>
    <t>Bunny</t>
  </si>
  <si>
    <t>E05009711</t>
  </si>
  <si>
    <t>Compton Acres</t>
  </si>
  <si>
    <t>E05009712</t>
  </si>
  <si>
    <t>Cotgrave</t>
  </si>
  <si>
    <t>E05009713</t>
  </si>
  <si>
    <t>Cranmer</t>
  </si>
  <si>
    <t>E05009714</t>
  </si>
  <si>
    <t>Cropwell</t>
  </si>
  <si>
    <t>E05009715</t>
  </si>
  <si>
    <t>East Bridgford</t>
  </si>
  <si>
    <t>E05009716</t>
  </si>
  <si>
    <t>Edwalton</t>
  </si>
  <si>
    <t>E05009717</t>
  </si>
  <si>
    <t>Gamston North</t>
  </si>
  <si>
    <t>E05009718</t>
  </si>
  <si>
    <t>Gamston South</t>
  </si>
  <si>
    <t>E05009719</t>
  </si>
  <si>
    <t>Gotham</t>
  </si>
  <si>
    <t>E05009720</t>
  </si>
  <si>
    <t>Keyworth &amp; Wolds</t>
  </si>
  <si>
    <t>E05009721</t>
  </si>
  <si>
    <t>Lady Bay</t>
  </si>
  <si>
    <t>E05009722</t>
  </si>
  <si>
    <t>Leake</t>
  </si>
  <si>
    <t>E05009723</t>
  </si>
  <si>
    <t>Lutterell</t>
  </si>
  <si>
    <t>E05009724</t>
  </si>
  <si>
    <t>Musters</t>
  </si>
  <si>
    <t>E05009725</t>
  </si>
  <si>
    <t>Nevile &amp; Langar</t>
  </si>
  <si>
    <t>E05009726</t>
  </si>
  <si>
    <t>Radcliffe on Trent</t>
  </si>
  <si>
    <t>E05009727</t>
  </si>
  <si>
    <t>Ruddington</t>
  </si>
  <si>
    <t>E05009728</t>
  </si>
  <si>
    <t>Sutton Bonington</t>
  </si>
  <si>
    <t>E05009729</t>
  </si>
  <si>
    <t>Thoroton</t>
  </si>
  <si>
    <t>E05009730</t>
  </si>
  <si>
    <t>Tollerton</t>
  </si>
  <si>
    <t>E05009731</t>
  </si>
  <si>
    <t>Trent Bridge</t>
  </si>
  <si>
    <t>E05009732</t>
  </si>
  <si>
    <t>* as created by The Rushcliffe (Electoral Changes) Order 2013</t>
  </si>
  <si>
    <t>Darlington *</t>
  </si>
  <si>
    <t>Co. Durham *</t>
  </si>
  <si>
    <t>CO. DURHAM &amp; DARLINGTON</t>
  </si>
  <si>
    <t>Hartlepool *</t>
  </si>
  <si>
    <t>Middlesbrough *</t>
  </si>
  <si>
    <t>Redcar and Cleveland *</t>
  </si>
  <si>
    <t>Stockton-on-Tees *</t>
  </si>
  <si>
    <t>"CLEVELAND" #</t>
  </si>
  <si>
    <t>Northumberland *</t>
  </si>
  <si>
    <t>Gateshead</t>
  </si>
  <si>
    <t>Newcastle upon Tyne</t>
  </si>
  <si>
    <t>North Tyneside</t>
  </si>
  <si>
    <t>South Tyneside</t>
  </si>
  <si>
    <t>Sunderland</t>
  </si>
  <si>
    <t>TYNE AND WEAR</t>
  </si>
  <si>
    <t>NORTH EAST REGION</t>
  </si>
  <si>
    <t>HARTLEPOOL BOROUGH  *</t>
  </si>
  <si>
    <t>MIDDLESBROUGH BOROUGH  *</t>
  </si>
  <si>
    <t>REDCAR AND CLEVELAND BOROUGH  *</t>
  </si>
  <si>
    <t>STOCKTON-ON-TEES BOROUGH  *</t>
  </si>
  <si>
    <t>East Durham CC</t>
  </si>
  <si>
    <t>Durham (pt)</t>
  </si>
  <si>
    <t>Hartlepool (pt)</t>
  </si>
  <si>
    <t>Hartlepool and Billingham BC</t>
  </si>
  <si>
    <t>Stockton-on-Tees (pt)</t>
  </si>
  <si>
    <t>Middlesbrough North East and Redcar BC</t>
  </si>
  <si>
    <t>Middlesbrough (pt)</t>
  </si>
  <si>
    <t>Redcar and Cleveland (pt)</t>
  </si>
  <si>
    <t>Middlesbrough South and East Cleveland CC</t>
  </si>
  <si>
    <t>Middlesbrough West and Stockton East BC</t>
  </si>
  <si>
    <t>Stockton West CC</t>
  </si>
  <si>
    <t>* as created by The Cleveland (Structural Change) Order 1995</t>
  </si>
  <si>
    <t>Burn Valley</t>
  </si>
  <si>
    <t>E05008942</t>
  </si>
  <si>
    <t>De Bruce</t>
  </si>
  <si>
    <t>E05008943</t>
  </si>
  <si>
    <t>Fens and Rossmere</t>
  </si>
  <si>
    <t>E05008944</t>
  </si>
  <si>
    <t>Foggy Furze</t>
  </si>
  <si>
    <t>E05008945</t>
  </si>
  <si>
    <t>Hart</t>
  </si>
  <si>
    <t>E05008946</t>
  </si>
  <si>
    <t>Headland and Harbour</t>
  </si>
  <si>
    <t>E05008947</t>
  </si>
  <si>
    <t>Jesmond</t>
  </si>
  <si>
    <t>E05008948</t>
  </si>
  <si>
    <t>Manor House</t>
  </si>
  <si>
    <t>E05008949</t>
  </si>
  <si>
    <t>E05008950</t>
  </si>
  <si>
    <t>E05008951</t>
  </si>
  <si>
    <t>E05008952</t>
  </si>
  <si>
    <t>East Durham CC (pt)</t>
  </si>
  <si>
    <t>Hartlepool and Billingham CC (pt)</t>
  </si>
  <si>
    <t>* as created by The Hartlepool (Electoral Changes) Order 2012</t>
  </si>
  <si>
    <t>Acklam</t>
  </si>
  <si>
    <t>E05009853</t>
  </si>
  <si>
    <t>Ayresome</t>
  </si>
  <si>
    <t>E05009854</t>
  </si>
  <si>
    <t>Berwick Hills &amp; Pallister</t>
  </si>
  <si>
    <t>E05009855</t>
  </si>
  <si>
    <t>Brambles &amp; Thorntree</t>
  </si>
  <si>
    <t>E05009856</t>
  </si>
  <si>
    <t>E05009857</t>
  </si>
  <si>
    <t>Coulby Newham</t>
  </si>
  <si>
    <t>E05009858</t>
  </si>
  <si>
    <t>Hemlington</t>
  </si>
  <si>
    <t>E05009859</t>
  </si>
  <si>
    <t>Kader</t>
  </si>
  <si>
    <t>E05009860</t>
  </si>
  <si>
    <t>Ladgate</t>
  </si>
  <si>
    <t>E05009861</t>
  </si>
  <si>
    <t>Linthorpe</t>
  </si>
  <si>
    <t>E05009862</t>
  </si>
  <si>
    <t>Longlands &amp; Beechwood</t>
  </si>
  <si>
    <t>E05009863</t>
  </si>
  <si>
    <t>Marton East</t>
  </si>
  <si>
    <t>E05009864</t>
  </si>
  <si>
    <t>Marton West</t>
  </si>
  <si>
    <t>E05009865</t>
  </si>
  <si>
    <t>E05009866</t>
  </si>
  <si>
    <t>North Ormesby</t>
  </si>
  <si>
    <t>E05009867</t>
  </si>
  <si>
    <t>Nunthorpe</t>
  </si>
  <si>
    <t>E05009868</t>
  </si>
  <si>
    <t>E05009869</t>
  </si>
  <si>
    <t>Park End &amp; Beckfield</t>
  </si>
  <si>
    <t>E05009870</t>
  </si>
  <si>
    <t>Stainton &amp; Thornton</t>
  </si>
  <si>
    <t>E05009871</t>
  </si>
  <si>
    <t>Trimdon</t>
  </si>
  <si>
    <t>E05009872</t>
  </si>
  <si>
    <t>Middlesbrough North East and Redcar BC (pt)</t>
  </si>
  <si>
    <t>Middlesbrough South and Cleveland CC (pt)</t>
  </si>
  <si>
    <t>Middlesbrough West and Stockton East BC (pt)</t>
  </si>
  <si>
    <t>* as created by The Middlesbrough (Electoral Changes) Order 2014</t>
  </si>
  <si>
    <t>Brotton</t>
  </si>
  <si>
    <t>E05001505</t>
  </si>
  <si>
    <t>Coatham</t>
  </si>
  <si>
    <t>E05001506</t>
  </si>
  <si>
    <t>Dormanstown</t>
  </si>
  <si>
    <t>E05001507</t>
  </si>
  <si>
    <t>Eston</t>
  </si>
  <si>
    <t>E05001508</t>
  </si>
  <si>
    <t>Grangetown</t>
  </si>
  <si>
    <t>E05001509</t>
  </si>
  <si>
    <t>Guisborough</t>
  </si>
  <si>
    <t>E05001510</t>
  </si>
  <si>
    <t>Hutton</t>
  </si>
  <si>
    <t>E05001511</t>
  </si>
  <si>
    <t>Kirkleatham</t>
  </si>
  <si>
    <t>E05001512</t>
  </si>
  <si>
    <t>Lockwood</t>
  </si>
  <si>
    <t>E05001513</t>
  </si>
  <si>
    <t>Loftus</t>
  </si>
  <si>
    <t>E05001514</t>
  </si>
  <si>
    <t>Longbeck</t>
  </si>
  <si>
    <t>E05001515</t>
  </si>
  <si>
    <t>Newcomen</t>
  </si>
  <si>
    <t>E05001516</t>
  </si>
  <si>
    <t>Normanby</t>
  </si>
  <si>
    <t>E05001517</t>
  </si>
  <si>
    <t>Ormesby</t>
  </si>
  <si>
    <t>E05001518</t>
  </si>
  <si>
    <t>St Germain's</t>
  </si>
  <si>
    <t>E05001519</t>
  </si>
  <si>
    <t>Saltburn</t>
  </si>
  <si>
    <t>E05001520</t>
  </si>
  <si>
    <t>Skelton</t>
  </si>
  <si>
    <t>E05001521</t>
  </si>
  <si>
    <t>South Bank</t>
  </si>
  <si>
    <t>E05001522</t>
  </si>
  <si>
    <t>Teesville</t>
  </si>
  <si>
    <t>E05001523</t>
  </si>
  <si>
    <t>West Dyke</t>
  </si>
  <si>
    <t>E05001524</t>
  </si>
  <si>
    <t>Westworth</t>
  </si>
  <si>
    <t>E05001525</t>
  </si>
  <si>
    <t>Zetland</t>
  </si>
  <si>
    <t>E05001526</t>
  </si>
  <si>
    <t>Middlesbrough South and East Cleveland CC (pt)</t>
  </si>
  <si>
    <t>* as created by The Borough of Redcar and Cleveland (Electoral Changes) Order 2003</t>
  </si>
  <si>
    <t>Billingham Central</t>
  </si>
  <si>
    <t>E05001527</t>
  </si>
  <si>
    <t>Billingham East</t>
  </si>
  <si>
    <t>E05001528</t>
  </si>
  <si>
    <t>Billingham North</t>
  </si>
  <si>
    <t>E05001529</t>
  </si>
  <si>
    <t>Billingham South</t>
  </si>
  <si>
    <t>E05001530</t>
  </si>
  <si>
    <t>Billingham West</t>
  </si>
  <si>
    <t>E05001531</t>
  </si>
  <si>
    <t>Bishopsgarth and Elm Tree</t>
  </si>
  <si>
    <t>E05001532</t>
  </si>
  <si>
    <t>Eaglescliffe</t>
  </si>
  <si>
    <t>E05001533</t>
  </si>
  <si>
    <t>Fairfield</t>
  </si>
  <si>
    <t>E05001534</t>
  </si>
  <si>
    <t>Grangefield</t>
  </si>
  <si>
    <t>E05001535</t>
  </si>
  <si>
    <t>Hardwick and Salters Lane</t>
  </si>
  <si>
    <t>E05001536</t>
  </si>
  <si>
    <t>Hartburn</t>
  </si>
  <si>
    <t>E05001537</t>
  </si>
  <si>
    <t>Ingleby Barwick East</t>
  </si>
  <si>
    <t>E05001538</t>
  </si>
  <si>
    <t>Ingleby Barwick West</t>
  </si>
  <si>
    <t>E05001539</t>
  </si>
  <si>
    <t>Mandale and Victoria</t>
  </si>
  <si>
    <t>E05001540</t>
  </si>
  <si>
    <t>E05001541</t>
  </si>
  <si>
    <t>Northern Parishes</t>
  </si>
  <si>
    <t>E05001542</t>
  </si>
  <si>
    <t>Norton North</t>
  </si>
  <si>
    <t>E05001543</t>
  </si>
  <si>
    <t>Norton South</t>
  </si>
  <si>
    <t>E05001544</t>
  </si>
  <si>
    <t>Norton West</t>
  </si>
  <si>
    <t>E05001545</t>
  </si>
  <si>
    <t>Parkfield and Oxbridge</t>
  </si>
  <si>
    <t>E05001546</t>
  </si>
  <si>
    <t>Roseworth</t>
  </si>
  <si>
    <t>E05001547</t>
  </si>
  <si>
    <t>Stainsby Hill</t>
  </si>
  <si>
    <t>E05001548</t>
  </si>
  <si>
    <t>Stockton Town Centre</t>
  </si>
  <si>
    <t>E05001549</t>
  </si>
  <si>
    <t>Village</t>
  </si>
  <si>
    <t>E05001550</t>
  </si>
  <si>
    <t>Western Parishes</t>
  </si>
  <si>
    <t>E05001551</t>
  </si>
  <si>
    <t>Yarm</t>
  </si>
  <si>
    <t>E05001552</t>
  </si>
  <si>
    <t>Hartlepool and Billingham BC (pt)</t>
  </si>
  <si>
    <t>* as created by The Borough of Stockton-on-Tees (Electoral Changes) Order 2003</t>
  </si>
  <si>
    <t>DARLINGTON BOROUGH  *</t>
  </si>
  <si>
    <t>DURHAM  #</t>
  </si>
  <si>
    <t>Bishop Auckland CC</t>
  </si>
  <si>
    <t>City of Durham CC</t>
  </si>
  <si>
    <t>Sunderland (pt)</t>
  </si>
  <si>
    <t>Darlington BC</t>
  </si>
  <si>
    <t>Darlington</t>
  </si>
  <si>
    <t>Easington and Houghton CC</t>
  </si>
  <si>
    <t>North Durham and Chester-le-Street CC</t>
  </si>
  <si>
    <t>West Durham and Teesdale CC</t>
  </si>
  <si>
    <t>Gateshead (pt)</t>
  </si>
  <si>
    <t>* as created by The Durham (Borough of Darlington) (Structural Change) Order 1995</t>
  </si>
  <si>
    <t># as created by The County Durham (Structural Change) Order 2008</t>
  </si>
  <si>
    <t>Bank Top &amp; Lascelles</t>
  </si>
  <si>
    <t>E05010412</t>
  </si>
  <si>
    <t>Brinkburn &amp; Faverdale</t>
  </si>
  <si>
    <t>E05010413</t>
  </si>
  <si>
    <t>Cockerton</t>
  </si>
  <si>
    <t>E05010414</t>
  </si>
  <si>
    <t>E05010415</t>
  </si>
  <si>
    <t>Eastbourne</t>
  </si>
  <si>
    <t>E05010416</t>
  </si>
  <si>
    <t>Harrowgate Hill</t>
  </si>
  <si>
    <t>E05010417</t>
  </si>
  <si>
    <t>Haughton &amp; Springfield</t>
  </si>
  <si>
    <t>E05010418</t>
  </si>
  <si>
    <t>Heighington &amp; Coniscliffe</t>
  </si>
  <si>
    <t>E05010419</t>
  </si>
  <si>
    <t>Hummersknott</t>
  </si>
  <si>
    <t>E05010420</t>
  </si>
  <si>
    <t>Hurworth</t>
  </si>
  <si>
    <t>E05010421</t>
  </si>
  <si>
    <t>Mowden</t>
  </si>
  <si>
    <t>E05010422</t>
  </si>
  <si>
    <t>North Road</t>
  </si>
  <si>
    <t>E05010423</t>
  </si>
  <si>
    <t>Northgate</t>
  </si>
  <si>
    <t>E05010424</t>
  </si>
  <si>
    <t>Park East</t>
  </si>
  <si>
    <t>E05010425</t>
  </si>
  <si>
    <t>Park West</t>
  </si>
  <si>
    <t>E05010426</t>
  </si>
  <si>
    <t>Pierremont</t>
  </si>
  <si>
    <t>E05010427</t>
  </si>
  <si>
    <t>Red Hall &amp; Lingfield</t>
  </si>
  <si>
    <t>E05010428</t>
  </si>
  <si>
    <t>Sadberge &amp; Middleton St George</t>
  </si>
  <si>
    <t>E05010429</t>
  </si>
  <si>
    <t>Stephenson</t>
  </si>
  <si>
    <t>E05010430</t>
  </si>
  <si>
    <t>Whinfield</t>
  </si>
  <si>
    <t>E05010431</t>
  </si>
  <si>
    <t>* as created by The Darlington (Electoral Changes) Order 2014</t>
  </si>
  <si>
    <t>DURHAM  *</t>
  </si>
  <si>
    <t>Annfield Plain</t>
  </si>
  <si>
    <t>E05009030</t>
  </si>
  <si>
    <t>Aycliffe East</t>
  </si>
  <si>
    <t>E05009031</t>
  </si>
  <si>
    <t>Aycliffe North and Middridge</t>
  </si>
  <si>
    <t>E05009032</t>
  </si>
  <si>
    <t>Aycliffe West</t>
  </si>
  <si>
    <t>E05009033</t>
  </si>
  <si>
    <t>Barnard Castle East</t>
  </si>
  <si>
    <t>E05009034</t>
  </si>
  <si>
    <t>Barnard Castle West</t>
  </si>
  <si>
    <t>E05009035</t>
  </si>
  <si>
    <t>E05009036</t>
  </si>
  <si>
    <t>Benfieldside</t>
  </si>
  <si>
    <t>E05009037</t>
  </si>
  <si>
    <t>Bishop Auckland Town</t>
  </si>
  <si>
    <t>E05009038</t>
  </si>
  <si>
    <t>Bishop Middleham and Cornforth</t>
  </si>
  <si>
    <t>E05009039</t>
  </si>
  <si>
    <t>Blackhalls</t>
  </si>
  <si>
    <t>E05009040</t>
  </si>
  <si>
    <t>Brandon</t>
  </si>
  <si>
    <t>E05009041</t>
  </si>
  <si>
    <t>Burnopfield and Dipton</t>
  </si>
  <si>
    <t>E05009042</t>
  </si>
  <si>
    <t>Chester-le-Street East</t>
  </si>
  <si>
    <t>E05009043</t>
  </si>
  <si>
    <t>Chester-le-Street North</t>
  </si>
  <si>
    <t>E05009044</t>
  </si>
  <si>
    <t>Chester-le-Street South</t>
  </si>
  <si>
    <t>E05009045</t>
  </si>
  <si>
    <t>Chester-le-Street West Central</t>
  </si>
  <si>
    <t>E05009046</t>
  </si>
  <si>
    <t>Chilton</t>
  </si>
  <si>
    <t>E05009047</t>
  </si>
  <si>
    <t>Consett North</t>
  </si>
  <si>
    <t>E05009048</t>
  </si>
  <si>
    <t>Consett South</t>
  </si>
  <si>
    <t>E05009049</t>
  </si>
  <si>
    <t>Coundon</t>
  </si>
  <si>
    <t>E05009050</t>
  </si>
  <si>
    <t>Coxhoe</t>
  </si>
  <si>
    <t>E05009051</t>
  </si>
  <si>
    <t>Craghead and South Moor</t>
  </si>
  <si>
    <t>E05009052</t>
  </si>
  <si>
    <t>Crook</t>
  </si>
  <si>
    <t>E05009053</t>
  </si>
  <si>
    <t>Dawdon</t>
  </si>
  <si>
    <t>E05009054</t>
  </si>
  <si>
    <t>Deerness</t>
  </si>
  <si>
    <t>E05009055</t>
  </si>
  <si>
    <t>Delves Lane</t>
  </si>
  <si>
    <t>E05009056</t>
  </si>
  <si>
    <t>Deneside</t>
  </si>
  <si>
    <t>E05009057</t>
  </si>
  <si>
    <t>Durham South</t>
  </si>
  <si>
    <t>E05009058</t>
  </si>
  <si>
    <t>Easington</t>
  </si>
  <si>
    <t>E05009059</t>
  </si>
  <si>
    <t>Elvet and Gilesgate</t>
  </si>
  <si>
    <t>E05009060</t>
  </si>
  <si>
    <t>Esh and Witton Gilbert</t>
  </si>
  <si>
    <t>E05009061</t>
  </si>
  <si>
    <t>Evenwood</t>
  </si>
  <si>
    <t>E05009062</t>
  </si>
  <si>
    <t>Ferryhill</t>
  </si>
  <si>
    <t>E05009063</t>
  </si>
  <si>
    <t>Framwellgate and Newton Hall</t>
  </si>
  <si>
    <t>E05009064</t>
  </si>
  <si>
    <t>Horden</t>
  </si>
  <si>
    <t>E05009065</t>
  </si>
  <si>
    <t>Lanchester</t>
  </si>
  <si>
    <t>E05009066</t>
  </si>
  <si>
    <t>Leadgate and Medomsley</t>
  </si>
  <si>
    <t>E05009067</t>
  </si>
  <si>
    <t>Lumley</t>
  </si>
  <si>
    <t>E05009068</t>
  </si>
  <si>
    <t>Murton</t>
  </si>
  <si>
    <t>E05009069</t>
  </si>
  <si>
    <t>Neville's Cross</t>
  </si>
  <si>
    <t>E05009070</t>
  </si>
  <si>
    <t>North Lodge</t>
  </si>
  <si>
    <t>E05009071</t>
  </si>
  <si>
    <t>Passfield</t>
  </si>
  <si>
    <t>E05009072</t>
  </si>
  <si>
    <t>Pelton</t>
  </si>
  <si>
    <t>E05009073</t>
  </si>
  <si>
    <t>Peterlee East</t>
  </si>
  <si>
    <t>E05009074</t>
  </si>
  <si>
    <t>Peterlee West</t>
  </si>
  <si>
    <t>E05009075</t>
  </si>
  <si>
    <t>Sacriston</t>
  </si>
  <si>
    <t>E05009076</t>
  </si>
  <si>
    <t>Seaham</t>
  </si>
  <si>
    <t>E05009077</t>
  </si>
  <si>
    <t>Sedgefield</t>
  </si>
  <si>
    <t>E05009078</t>
  </si>
  <si>
    <t>Sherburn</t>
  </si>
  <si>
    <t>E05009079</t>
  </si>
  <si>
    <t>Shildon and Dene Valley</t>
  </si>
  <si>
    <t>E05009080</t>
  </si>
  <si>
    <t>Shotton and South Hetton</t>
  </si>
  <si>
    <t>E05009081</t>
  </si>
  <si>
    <t>Spennymoor</t>
  </si>
  <si>
    <t>E05009082</t>
  </si>
  <si>
    <t>Stanley</t>
  </si>
  <si>
    <t>E05009083</t>
  </si>
  <si>
    <t>Tanfield</t>
  </si>
  <si>
    <t>E05009084</t>
  </si>
  <si>
    <t>Tow Law</t>
  </si>
  <si>
    <t>E05009085</t>
  </si>
  <si>
    <t>Trimdon and Thornley</t>
  </si>
  <si>
    <t>E05009086</t>
  </si>
  <si>
    <t>Tudhoe</t>
  </si>
  <si>
    <t>E05009087</t>
  </si>
  <si>
    <t>Weardale</t>
  </si>
  <si>
    <t>E05009088</t>
  </si>
  <si>
    <t>West Auckland</t>
  </si>
  <si>
    <t>E05009089</t>
  </si>
  <si>
    <t>Willington and Hunwick</t>
  </si>
  <si>
    <t>E05009090</t>
  </si>
  <si>
    <t>Wingate</t>
  </si>
  <si>
    <t>E05009091</t>
  </si>
  <si>
    <t>Woodhouse Close</t>
  </si>
  <si>
    <t>E05009092</t>
  </si>
  <si>
    <t>City of Durham CC (pt)</t>
  </si>
  <si>
    <t>Easington and Houghton CC (pt)</t>
  </si>
  <si>
    <t>North Durham and Chester-le-Street CC (pt)</t>
  </si>
  <si>
    <t>West Durham and Teesdale CC (pt)</t>
  </si>
  <si>
    <t>* as created by The Durham (Electoral Changes) Order 2012</t>
  </si>
  <si>
    <t>NORTHUMBERLAND  *</t>
  </si>
  <si>
    <t>Berwick and Ashington CC</t>
  </si>
  <si>
    <t>Northumberland (pt)</t>
  </si>
  <si>
    <t>Blyth Valley BC</t>
  </si>
  <si>
    <t>Hexham and Morpeth CC</t>
  </si>
  <si>
    <t>Newcastle upon Tyne North West BC</t>
  </si>
  <si>
    <t>Newcastle upon Tyne (pt)</t>
  </si>
  <si>
    <t>* as created by The Northumberland (Structural Change) Order 2008</t>
  </si>
  <si>
    <t>Alnwick</t>
  </si>
  <si>
    <t>E05009093</t>
  </si>
  <si>
    <t>Amble</t>
  </si>
  <si>
    <t>E05009094</t>
  </si>
  <si>
    <t>Amble West with Warkworth</t>
  </si>
  <si>
    <t>E05009095</t>
  </si>
  <si>
    <t>Ashington Central</t>
  </si>
  <si>
    <t>E05009096</t>
  </si>
  <si>
    <t>Bamburgh</t>
  </si>
  <si>
    <t>E05009097</t>
  </si>
  <si>
    <t>Bedlington Central</t>
  </si>
  <si>
    <t>E05009098</t>
  </si>
  <si>
    <t>Bedlington East</t>
  </si>
  <si>
    <t>E05009099</t>
  </si>
  <si>
    <t>Bedlington West</t>
  </si>
  <si>
    <t>E05009100</t>
  </si>
  <si>
    <t>Bellingham</t>
  </si>
  <si>
    <t>E05009101</t>
  </si>
  <si>
    <t>Berwick East</t>
  </si>
  <si>
    <t>E05009102</t>
  </si>
  <si>
    <t>Berwick North</t>
  </si>
  <si>
    <t>E05009103</t>
  </si>
  <si>
    <t>Berwick West with Ord</t>
  </si>
  <si>
    <t>E05009104</t>
  </si>
  <si>
    <t>Bothal</t>
  </si>
  <si>
    <t>E05009105</t>
  </si>
  <si>
    <t>Bywell</t>
  </si>
  <si>
    <t>E05009106</t>
  </si>
  <si>
    <t>Choppington</t>
  </si>
  <si>
    <t>E05009107</t>
  </si>
  <si>
    <t>E05009108</t>
  </si>
  <si>
    <t>Corbridge</t>
  </si>
  <si>
    <t>E05009109</t>
  </si>
  <si>
    <t>Cowpen</t>
  </si>
  <si>
    <t>E05009110</t>
  </si>
  <si>
    <t>Cramlington East</t>
  </si>
  <si>
    <t>E05009111</t>
  </si>
  <si>
    <t>Cramlington Eastfield</t>
  </si>
  <si>
    <t>E05009112</t>
  </si>
  <si>
    <t>Cramlington North</t>
  </si>
  <si>
    <t>E05009113</t>
  </si>
  <si>
    <t>Cramlington South East</t>
  </si>
  <si>
    <t>E05009114</t>
  </si>
  <si>
    <t>Cramlington Village</t>
  </si>
  <si>
    <t>E05009115</t>
  </si>
  <si>
    <t>Cramlington West</t>
  </si>
  <si>
    <t>E05009116</t>
  </si>
  <si>
    <t>E05009117</t>
  </si>
  <si>
    <t>Druridge Bay</t>
  </si>
  <si>
    <t>E05009118</t>
  </si>
  <si>
    <t>Haltwhistle</t>
  </si>
  <si>
    <t>E05009119</t>
  </si>
  <si>
    <t>Hartley</t>
  </si>
  <si>
    <t>E05009120</t>
  </si>
  <si>
    <t>Haydon</t>
  </si>
  <si>
    <t>E05009121</t>
  </si>
  <si>
    <t>Haydon and Hadrian</t>
  </si>
  <si>
    <t>E05009122</t>
  </si>
  <si>
    <t>Hexham Central with Acomb</t>
  </si>
  <si>
    <t>E05009123</t>
  </si>
  <si>
    <t>Hexham East</t>
  </si>
  <si>
    <t>E05009124</t>
  </si>
  <si>
    <t>Hexham West</t>
  </si>
  <si>
    <t>E05009125</t>
  </si>
  <si>
    <t>Hirst</t>
  </si>
  <si>
    <t>E05009126</t>
  </si>
  <si>
    <t>Holywell</t>
  </si>
  <si>
    <t>E05009127</t>
  </si>
  <si>
    <t>Humshaugh</t>
  </si>
  <si>
    <t>E05009128</t>
  </si>
  <si>
    <t>Isabella</t>
  </si>
  <si>
    <t>E05009129</t>
  </si>
  <si>
    <t>Kitty Brewster</t>
  </si>
  <si>
    <t>E05009130</t>
  </si>
  <si>
    <t>Longhorseley</t>
  </si>
  <si>
    <t>E05009131</t>
  </si>
  <si>
    <t>Longhoughton</t>
  </si>
  <si>
    <t>E05009132</t>
  </si>
  <si>
    <t>Lynemouth</t>
  </si>
  <si>
    <t>E05009133</t>
  </si>
  <si>
    <t>Morpeth Kirkhill</t>
  </si>
  <si>
    <t>E05009134</t>
  </si>
  <si>
    <t>Morpeth North</t>
  </si>
  <si>
    <t>E05009135</t>
  </si>
  <si>
    <t>Morpeth Stobhill</t>
  </si>
  <si>
    <t>E05009136</t>
  </si>
  <si>
    <t>Newbiggin Central and East</t>
  </si>
  <si>
    <t>E05009137</t>
  </si>
  <si>
    <t>Newsham</t>
  </si>
  <si>
    <t>E05009138</t>
  </si>
  <si>
    <t>Norham and Islandshires</t>
  </si>
  <si>
    <t>E05009139</t>
  </si>
  <si>
    <t>Pegswood</t>
  </si>
  <si>
    <t>E05009140</t>
  </si>
  <si>
    <t>Plessey</t>
  </si>
  <si>
    <t>E05009141</t>
  </si>
  <si>
    <t>Ponteland East and Stannington</t>
  </si>
  <si>
    <t>E05009142</t>
  </si>
  <si>
    <t>Ponteland North</t>
  </si>
  <si>
    <t>E05009143</t>
  </si>
  <si>
    <t>Ponteland South with Heddon</t>
  </si>
  <si>
    <t>E05009144</t>
  </si>
  <si>
    <t>Ponteland West</t>
  </si>
  <si>
    <t>E05009145</t>
  </si>
  <si>
    <t>Prudhoe North</t>
  </si>
  <si>
    <t>E05009146</t>
  </si>
  <si>
    <t>Prudhoe South</t>
  </si>
  <si>
    <t>E05009147</t>
  </si>
  <si>
    <t>Rothbury</t>
  </si>
  <si>
    <t>E05009148</t>
  </si>
  <si>
    <t>Seaton with Newbiggin West</t>
  </si>
  <si>
    <t>E05009149</t>
  </si>
  <si>
    <t>Seghill with Seaton Delaval</t>
  </si>
  <si>
    <t>E05009150</t>
  </si>
  <si>
    <t>Shilbottle</t>
  </si>
  <si>
    <t>E05009151</t>
  </si>
  <si>
    <t>Sleekburn</t>
  </si>
  <si>
    <t>E05009152</t>
  </si>
  <si>
    <t>South Blyth</t>
  </si>
  <si>
    <t>E05009153</t>
  </si>
  <si>
    <t>South Tynedale</t>
  </si>
  <si>
    <t>E05009154</t>
  </si>
  <si>
    <t>Stakeford</t>
  </si>
  <si>
    <t>E05009155</t>
  </si>
  <si>
    <t>Stocksfield and Broomhaugh</t>
  </si>
  <si>
    <t>E05009156</t>
  </si>
  <si>
    <t>Wensleydale</t>
  </si>
  <si>
    <t>E05009157</t>
  </si>
  <si>
    <t>Wooler</t>
  </si>
  <si>
    <t>E05009158</t>
  </si>
  <si>
    <t>Newcastle upon Tyne North West BC (pt)</t>
  </si>
  <si>
    <t>* as created by The Northumberland (Electoral Changes) Order 2011 and</t>
  </si>
  <si>
    <t xml:space="preserve">  as altered by The Gateshead and Northumbrland (Boundary Change) Order 2013</t>
  </si>
  <si>
    <t>GATESHEAD BOROUGH</t>
  </si>
  <si>
    <t>CITY OF NEWCASTLE UPON TYNE</t>
  </si>
  <si>
    <t>NORTH TYNESIDE BOROUGH</t>
  </si>
  <si>
    <t>SOUTH TYNESIDE BOROUGH</t>
  </si>
  <si>
    <t>CITY OF SUNDERLAND</t>
  </si>
  <si>
    <t>Blaydon BC</t>
  </si>
  <si>
    <t>Gateshead BC</t>
  </si>
  <si>
    <t>Jarrow BC</t>
  </si>
  <si>
    <t>South Tyneside (pt)</t>
  </si>
  <si>
    <t>Newcastle upon Tyne East BC</t>
  </si>
  <si>
    <t>Newcastle (pt)</t>
  </si>
  <si>
    <t>North Tyneside BC</t>
  </si>
  <si>
    <t>North Tyneside (pt)</t>
  </si>
  <si>
    <t>South Shields BC</t>
  </si>
  <si>
    <t>Sunderland Central BC</t>
  </si>
  <si>
    <t>Tynemouth BC</t>
  </si>
  <si>
    <t>Sunderland West BC</t>
  </si>
  <si>
    <t>GATESHEAD BOROUGH  *</t>
  </si>
  <si>
    <t>Birtley</t>
  </si>
  <si>
    <t>E05001067</t>
  </si>
  <si>
    <t>Blaydon</t>
  </si>
  <si>
    <t>E05001068</t>
  </si>
  <si>
    <t>Bridges</t>
  </si>
  <si>
    <t>E05001069</t>
  </si>
  <si>
    <t>Chopwell and Rowlands Gill</t>
  </si>
  <si>
    <t>E05009313</t>
  </si>
  <si>
    <t>Chowdene</t>
  </si>
  <si>
    <t>E05001071</t>
  </si>
  <si>
    <t>Crawcrook and Greenside</t>
  </si>
  <si>
    <t>E05001072</t>
  </si>
  <si>
    <t>Deckham</t>
  </si>
  <si>
    <t>E05001073</t>
  </si>
  <si>
    <t>Dunston and Teams</t>
  </si>
  <si>
    <t>E05001074</t>
  </si>
  <si>
    <t>Dunston Hill and Whickham East</t>
  </si>
  <si>
    <t>E05001075</t>
  </si>
  <si>
    <t>Felling</t>
  </si>
  <si>
    <t>E05001076</t>
  </si>
  <si>
    <t>High Fell</t>
  </si>
  <si>
    <t>E05001077</t>
  </si>
  <si>
    <t>Lamesley</t>
  </si>
  <si>
    <t>E05001078</t>
  </si>
  <si>
    <t>Lobley Hill and Bensham</t>
  </si>
  <si>
    <t>E05001079</t>
  </si>
  <si>
    <t>Low Fell</t>
  </si>
  <si>
    <t>E05001080</t>
  </si>
  <si>
    <t>Pelaw and Heworth</t>
  </si>
  <si>
    <t>E05001081</t>
  </si>
  <si>
    <t>Ryton, Crookhill and Stella</t>
  </si>
  <si>
    <t>E05001082</t>
  </si>
  <si>
    <t>Saltwell</t>
  </si>
  <si>
    <t>E05001083</t>
  </si>
  <si>
    <t>Wardley and Leam Lane</t>
  </si>
  <si>
    <t>E05001084</t>
  </si>
  <si>
    <t>Whickham North</t>
  </si>
  <si>
    <t>E05001085</t>
  </si>
  <si>
    <t>Whickham South and Sunniside</t>
  </si>
  <si>
    <t>E05001086</t>
  </si>
  <si>
    <t>Windy Nook and Whitehills</t>
  </si>
  <si>
    <t>E05001087</t>
  </si>
  <si>
    <t>Winlaton and High Spen</t>
  </si>
  <si>
    <t>E05001088</t>
  </si>
  <si>
    <t>Blaydon BC (pt)</t>
  </si>
  <si>
    <t>Gateshead BC (pt)</t>
  </si>
  <si>
    <t>Jarrow BC (pt)</t>
  </si>
  <si>
    <t>Sunderland West BC (pt)</t>
  </si>
  <si>
    <t>* as created by The Borough of Gateshead (Electoral Changes) Order 2004 and</t>
  </si>
  <si>
    <t xml:space="preserve">   as altered by The Gateshead and Northumberland (Boundary Change) Order 2013</t>
  </si>
  <si>
    <t>CITY OF NEWCASTLE UPON TYNE  *</t>
  </si>
  <si>
    <t>Benwell and Scotswood</t>
  </si>
  <si>
    <t>E05001089</t>
  </si>
  <si>
    <t>Blakelaw</t>
  </si>
  <si>
    <t>E05001090</t>
  </si>
  <si>
    <t>Byker</t>
  </si>
  <si>
    <t>E05001091</t>
  </si>
  <si>
    <t>E05001092</t>
  </si>
  <si>
    <t>Dene</t>
  </si>
  <si>
    <t>E05001093</t>
  </si>
  <si>
    <t>Denton</t>
  </si>
  <si>
    <t>E05001094</t>
  </si>
  <si>
    <t>East Gosforth</t>
  </si>
  <si>
    <t>E05001095</t>
  </si>
  <si>
    <t>Elswick</t>
  </si>
  <si>
    <t>E05001096</t>
  </si>
  <si>
    <t>Fawdon</t>
  </si>
  <si>
    <t>E05001097</t>
  </si>
  <si>
    <t>Fenham</t>
  </si>
  <si>
    <t>E05001098</t>
  </si>
  <si>
    <t>Kenton</t>
  </si>
  <si>
    <t>E05001099</t>
  </si>
  <si>
    <t>Lemington</t>
  </si>
  <si>
    <t>E05001100</t>
  </si>
  <si>
    <t>Newburn</t>
  </si>
  <si>
    <t>E05001101</t>
  </si>
  <si>
    <t>North Heaton</t>
  </si>
  <si>
    <t>E05001102</t>
  </si>
  <si>
    <t>North Jesmond</t>
  </si>
  <si>
    <t>E05001103</t>
  </si>
  <si>
    <t>Ouseburn</t>
  </si>
  <si>
    <t>E05001104</t>
  </si>
  <si>
    <t>E05001105</t>
  </si>
  <si>
    <t>South Heaton</t>
  </si>
  <si>
    <t>E05001106</t>
  </si>
  <si>
    <t>South Jesmond</t>
  </si>
  <si>
    <t>E05001107</t>
  </si>
  <si>
    <t>Walker</t>
  </si>
  <si>
    <t>E05001108</t>
  </si>
  <si>
    <t>Walkergate</t>
  </si>
  <si>
    <t>E05001109</t>
  </si>
  <si>
    <t>Westerhope</t>
  </si>
  <si>
    <t>E05001110</t>
  </si>
  <si>
    <t>E05001111</t>
  </si>
  <si>
    <t>West Gosforth</t>
  </si>
  <si>
    <t>E05001112</t>
  </si>
  <si>
    <t>Wingrove</t>
  </si>
  <si>
    <t>E05001113</t>
  </si>
  <si>
    <t>Woolsington</t>
  </si>
  <si>
    <t>E05001114</t>
  </si>
  <si>
    <t>* as created by The City of Newcastle upon Tyne (Electoral Changes) Order 2004</t>
  </si>
  <si>
    <t>NORTH TYNESIDE BOROUGH  *</t>
  </si>
  <si>
    <t>Battle Hill</t>
  </si>
  <si>
    <t>E05001115</t>
  </si>
  <si>
    <t>Benton</t>
  </si>
  <si>
    <t>E05001116</t>
  </si>
  <si>
    <t>Camperdown</t>
  </si>
  <si>
    <t>E05001117</t>
  </si>
  <si>
    <t>Chirton</t>
  </si>
  <si>
    <t>E05001118</t>
  </si>
  <si>
    <t>Collingwood</t>
  </si>
  <si>
    <t>E05001119</t>
  </si>
  <si>
    <t>Cullercoats</t>
  </si>
  <si>
    <t>E05001120</t>
  </si>
  <si>
    <t>Howdon</t>
  </si>
  <si>
    <t>E05001121</t>
  </si>
  <si>
    <t>Killingworth</t>
  </si>
  <si>
    <t>E05001122</t>
  </si>
  <si>
    <t>Longbenton</t>
  </si>
  <si>
    <t>E05001123</t>
  </si>
  <si>
    <t>Monkseaton North</t>
  </si>
  <si>
    <t>E05001124</t>
  </si>
  <si>
    <t>Monkseaton South</t>
  </si>
  <si>
    <t>E05001125</t>
  </si>
  <si>
    <t>Northumberland</t>
  </si>
  <si>
    <t>E05001126</t>
  </si>
  <si>
    <t>E05001127</t>
  </si>
  <si>
    <t>E05001128</t>
  </si>
  <si>
    <t>E05001129</t>
  </si>
  <si>
    <t>Tynemouth</t>
  </si>
  <si>
    <t>E05001130</t>
  </si>
  <si>
    <t>E05001131</t>
  </si>
  <si>
    <t>Wallsend</t>
  </si>
  <si>
    <t>E05001132</t>
  </si>
  <si>
    <t>Weetslade</t>
  </si>
  <si>
    <t>E05001133</t>
  </si>
  <si>
    <t>Whitley Bay</t>
  </si>
  <si>
    <t>E05001134</t>
  </si>
  <si>
    <t>* as created by The Borough of North Tyneside (Electoral Changes) Order 2004</t>
  </si>
  <si>
    <t>SOUTH TYNESIDE BOROUGH  *</t>
  </si>
  <si>
    <t>Beacon and Bents</t>
  </si>
  <si>
    <t>E05001135</t>
  </si>
  <si>
    <t>E05001136</t>
  </si>
  <si>
    <t>Biddick and All Saints</t>
  </si>
  <si>
    <t>E05001137</t>
  </si>
  <si>
    <t>Boldon Colliery</t>
  </si>
  <si>
    <t>E05001138</t>
  </si>
  <si>
    <t>Cleadon and East Boldon</t>
  </si>
  <si>
    <t>E05001139</t>
  </si>
  <si>
    <t>Cleadon Park</t>
  </si>
  <si>
    <t>E05001140</t>
  </si>
  <si>
    <t>Fellgate and Hedworth</t>
  </si>
  <si>
    <t>E05001141</t>
  </si>
  <si>
    <t>Harton</t>
  </si>
  <si>
    <t>E05001142</t>
  </si>
  <si>
    <t>Hebburn North</t>
  </si>
  <si>
    <t>E05001143</t>
  </si>
  <si>
    <t>Hebburn South</t>
  </si>
  <si>
    <t>E05001144</t>
  </si>
  <si>
    <t>Horsley Hill</t>
  </si>
  <si>
    <t>E05001145</t>
  </si>
  <si>
    <t>Monkton</t>
  </si>
  <si>
    <t>E05001146</t>
  </si>
  <si>
    <t>Primrose</t>
  </si>
  <si>
    <t>E05001147</t>
  </si>
  <si>
    <t>Simonside and Rekendyke</t>
  </si>
  <si>
    <t>E05001148</t>
  </si>
  <si>
    <t>Westoe</t>
  </si>
  <si>
    <t>E05001149</t>
  </si>
  <si>
    <t>West Park</t>
  </si>
  <si>
    <t>E05001150</t>
  </si>
  <si>
    <t>Whitburn and Marsden</t>
  </si>
  <si>
    <t>E05001151</t>
  </si>
  <si>
    <t>Whiteleas</t>
  </si>
  <si>
    <t>E05001152</t>
  </si>
  <si>
    <t>* as created by The Borough of South Tyneside (Electoral Changes) Order 2004</t>
  </si>
  <si>
    <t>CITY OF SUNDERLAND  *</t>
  </si>
  <si>
    <t>Barnes</t>
  </si>
  <si>
    <t>E05001153</t>
  </si>
  <si>
    <t>E05001154</t>
  </si>
  <si>
    <t>Copt Hill</t>
  </si>
  <si>
    <t>E05001155</t>
  </si>
  <si>
    <t>Doxford</t>
  </si>
  <si>
    <t>E05001156</t>
  </si>
  <si>
    <t>Fulwell</t>
  </si>
  <si>
    <t>E05001157</t>
  </si>
  <si>
    <t>Hendon</t>
  </si>
  <si>
    <t>E05001158</t>
  </si>
  <si>
    <t>Hetton</t>
  </si>
  <si>
    <t>E05001159</t>
  </si>
  <si>
    <t>Houghton</t>
  </si>
  <si>
    <t>E05001160</t>
  </si>
  <si>
    <t>E05001161</t>
  </si>
  <si>
    <t>Pallion</t>
  </si>
  <si>
    <t>E05001162</t>
  </si>
  <si>
    <t>E05001163</t>
  </si>
  <si>
    <t>Ryhope</t>
  </si>
  <si>
    <t>E05001164</t>
  </si>
  <si>
    <t>St Anne's</t>
  </si>
  <si>
    <t>E05001165</t>
  </si>
  <si>
    <t>St Chad's</t>
  </si>
  <si>
    <t>E05001166</t>
  </si>
  <si>
    <t>E05001167</t>
  </si>
  <si>
    <t>E05001168</t>
  </si>
  <si>
    <t>Sandhill</t>
  </si>
  <si>
    <t>E05001169</t>
  </si>
  <si>
    <t>Shiney Row</t>
  </si>
  <si>
    <t>E05001170</t>
  </si>
  <si>
    <t>Silksworth</t>
  </si>
  <si>
    <t>E05001171</t>
  </si>
  <si>
    <t>E05001172</t>
  </si>
  <si>
    <t>Washington Central</t>
  </si>
  <si>
    <t>E05001173</t>
  </si>
  <si>
    <t>Washington East</t>
  </si>
  <si>
    <t>E05001174</t>
  </si>
  <si>
    <t>Washington North</t>
  </si>
  <si>
    <t>E05001175</t>
  </si>
  <si>
    <t>Washington South</t>
  </si>
  <si>
    <t>E05001176</t>
  </si>
  <si>
    <t>Washington West</t>
  </si>
  <si>
    <t>E05001177</t>
  </si>
  <si>
    <t>* as created by The City of Sunderland (Electoral Changes) Order 2004</t>
  </si>
  <si>
    <t>ENGLAND</t>
  </si>
  <si>
    <t>Bedford *</t>
  </si>
  <si>
    <t>Central Bedfordshire *</t>
  </si>
  <si>
    <t>Luton *</t>
  </si>
  <si>
    <t>BEDFORDSHIRE &amp; LUTON</t>
  </si>
  <si>
    <t>Cambridge</t>
  </si>
  <si>
    <t>East Cambridgeshire</t>
  </si>
  <si>
    <t>Fenland</t>
  </si>
  <si>
    <t>Huntingdonshire</t>
  </si>
  <si>
    <t>South Cambridgeshire</t>
  </si>
  <si>
    <t>CAMBRIDGESHIRE</t>
  </si>
  <si>
    <t>Peterborough *</t>
  </si>
  <si>
    <t>CAMBRIDGESHIRE &amp; PETERBOROUGH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</si>
  <si>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</si>
  <si>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</si>
  <si>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</si>
  <si>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</si>
  <si>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</si>
  <si>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</si>
  <si>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</si>
  <si>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</si>
  <si>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</si>
  <si>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</si>
  <si>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</si>
  <si>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</si>
  <si>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ESSEX</t>
  </si>
  <si>
    <t>Southend-on-Sea *</t>
  </si>
  <si>
    <t>Thurrock *</t>
  </si>
  <si>
    <t>ESSEX, SOUTHEND &amp; THURROCK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</si>
  <si>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</si>
  <si>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</si>
  <si>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</si>
  <si>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</si>
  <si>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</si>
  <si>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</si>
  <si>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</si>
  <si>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</si>
  <si>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</si>
  <si>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</si>
  <si>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HERTFORDSHIRE</t>
  </si>
  <si>
    <t>Breckland</t>
  </si>
  <si>
    <t>Broadland</t>
  </si>
  <si>
    <t>Great Yarmouth</t>
  </si>
  <si>
    <t>Kings Lynn and West Norfolk</t>
  </si>
  <si>
    <t>North Norfolk</t>
  </si>
  <si>
    <t>Norwich</t>
  </si>
  <si>
    <t>South Norfolk</t>
  </si>
  <si>
    <t>NORFOLK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</si>
  <si>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</si>
  <si>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</si>
  <si>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</si>
  <si>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</si>
  <si>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</si>
  <si>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</si>
  <si>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</si>
  <si>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SUFFOLK</t>
  </si>
  <si>
    <t>EASTERN REGION</t>
  </si>
  <si>
    <t>BEDFORD BOROUGH  #</t>
  </si>
  <si>
    <t>CENTRAL BEDFORDSHIRE  #</t>
  </si>
  <si>
    <t>LUTON BOROUGH  *</t>
  </si>
  <si>
    <t>Bedford BC</t>
  </si>
  <si>
    <t>Bedford (pt)</t>
  </si>
  <si>
    <t>Luton North and Houghton BC</t>
  </si>
  <si>
    <t>Central Bedfordshire (pt)</t>
  </si>
  <si>
    <t>Luton (pt)</t>
  </si>
  <si>
    <t>Luton South BC</t>
  </si>
  <si>
    <t>Mid Bedfordshire CC</t>
  </si>
  <si>
    <t>North East Bedfordshire CC</t>
  </si>
  <si>
    <t>South West Bedfordshire CC</t>
  </si>
  <si>
    <t>* as created by The Bedfordshire (Borough of Luton) (Structural Change) Order 1995</t>
  </si>
  <si>
    <t># as created by The Bedfordshire (Structural Changes) Order 2008</t>
  </si>
  <si>
    <t>BEDFORD BOROUGH  *</t>
  </si>
  <si>
    <t>E05008751</t>
  </si>
  <si>
    <t>Bromham and Biddenham</t>
  </si>
  <si>
    <t>E05008752</t>
  </si>
  <si>
    <t>E05008753</t>
  </si>
  <si>
    <t>Cauldwell</t>
  </si>
  <si>
    <t>E05008754</t>
  </si>
  <si>
    <t>Clapham</t>
  </si>
  <si>
    <t>E05008755</t>
  </si>
  <si>
    <t>De Parys</t>
  </si>
  <si>
    <t>E05008756</t>
  </si>
  <si>
    <t>Eastcotts</t>
  </si>
  <si>
    <t>E05008757</t>
  </si>
  <si>
    <t>Elstow and Stewartby</t>
  </si>
  <si>
    <t>E05008758</t>
  </si>
  <si>
    <t>Goldington</t>
  </si>
  <si>
    <t>E05008759</t>
  </si>
  <si>
    <t>Great Barford</t>
  </si>
  <si>
    <t>E05008760</t>
  </si>
  <si>
    <t>Harpur</t>
  </si>
  <si>
    <t>E05008761</t>
  </si>
  <si>
    <t>Harrold</t>
  </si>
  <si>
    <t>E05008762</t>
  </si>
  <si>
    <t>Kempston Central and East</t>
  </si>
  <si>
    <t>E05008763</t>
  </si>
  <si>
    <t>Kempston North</t>
  </si>
  <si>
    <t>E05008764</t>
  </si>
  <si>
    <t>Kempston Rural</t>
  </si>
  <si>
    <t>E05008765</t>
  </si>
  <si>
    <t>Kempston South</t>
  </si>
  <si>
    <t>E05008766</t>
  </si>
  <si>
    <t>Kempston West</t>
  </si>
  <si>
    <t>E05008767</t>
  </si>
  <si>
    <t>Kingsbrook</t>
  </si>
  <si>
    <t>E05008768</t>
  </si>
  <si>
    <t>Newnham</t>
  </si>
  <si>
    <t>E05008769</t>
  </si>
  <si>
    <t>E05008770</t>
  </si>
  <si>
    <t>Putnoe</t>
  </si>
  <si>
    <t>E05008771</t>
  </si>
  <si>
    <t>Queens Park</t>
  </si>
  <si>
    <t>E05008772</t>
  </si>
  <si>
    <t>Riseley</t>
  </si>
  <si>
    <t>E05008773</t>
  </si>
  <si>
    <t>Sharnbrook</t>
  </si>
  <si>
    <t>E05008774</t>
  </si>
  <si>
    <t>Wilshamstead</t>
  </si>
  <si>
    <t>E05008775</t>
  </si>
  <si>
    <t>Wootton</t>
  </si>
  <si>
    <t>E05008776</t>
  </si>
  <si>
    <t>Wyboston</t>
  </si>
  <si>
    <t>E05008777</t>
  </si>
  <si>
    <t>Mid Bedfordshire CC (pt)</t>
  </si>
  <si>
    <t>North East Bedfordshire CC (pt)</t>
  </si>
  <si>
    <t>* as created by The Bedford (Electoral Changes) Order 2011</t>
  </si>
  <si>
    <t>CENTRAL BEDFORDSHIRE  *</t>
  </si>
  <si>
    <t>Ampthill</t>
  </si>
  <si>
    <t>E05008778</t>
  </si>
  <si>
    <t>Arlesey</t>
  </si>
  <si>
    <t>E05008779</t>
  </si>
  <si>
    <t>Aspley and Woburn</t>
  </si>
  <si>
    <t>E05008780</t>
  </si>
  <si>
    <t>Barton-le-Clay</t>
  </si>
  <si>
    <t>E05008781</t>
  </si>
  <si>
    <t>Biggleswade North</t>
  </si>
  <si>
    <t>E05008782</t>
  </si>
  <si>
    <t>Biggleswade South</t>
  </si>
  <si>
    <t>E05008783</t>
  </si>
  <si>
    <t>Caddington</t>
  </si>
  <si>
    <t>E05008784</t>
  </si>
  <si>
    <t>Cranfield and Marston Moretaine</t>
  </si>
  <si>
    <t>E05008785</t>
  </si>
  <si>
    <t>Dunstable Central</t>
  </si>
  <si>
    <t>E05008786</t>
  </si>
  <si>
    <t>Dunstable Icknield</t>
  </si>
  <si>
    <t>E05008787</t>
  </si>
  <si>
    <t>Dunstable Manshead</t>
  </si>
  <si>
    <t>E05008788</t>
  </si>
  <si>
    <t>Dunstable Northfields</t>
  </si>
  <si>
    <t>E05008789</t>
  </si>
  <si>
    <t>Dunstable Watling</t>
  </si>
  <si>
    <t>E05008790</t>
  </si>
  <si>
    <t>Eaton Bray</t>
  </si>
  <si>
    <t>E05008791</t>
  </si>
  <si>
    <t>Flitwick</t>
  </si>
  <si>
    <t>E05008792</t>
  </si>
  <si>
    <t>Heath and Reach</t>
  </si>
  <si>
    <t>E05008793</t>
  </si>
  <si>
    <t>Houghton Conquest and Haynes</t>
  </si>
  <si>
    <t>E05008794</t>
  </si>
  <si>
    <t>Houghton Hall</t>
  </si>
  <si>
    <t>E05008795</t>
  </si>
  <si>
    <t>Leighton Buzzard North</t>
  </si>
  <si>
    <t>E05008796</t>
  </si>
  <si>
    <t>Leighton Buzzard South</t>
  </si>
  <si>
    <t>E05008797</t>
  </si>
  <si>
    <t>Linslade</t>
  </si>
  <si>
    <t>E05008798</t>
  </si>
  <si>
    <t>Northill</t>
  </si>
  <si>
    <t>E05008799</t>
  </si>
  <si>
    <t>Parkside</t>
  </si>
  <si>
    <t>E05008800</t>
  </si>
  <si>
    <t>Potton</t>
  </si>
  <si>
    <t>E05008801</t>
  </si>
  <si>
    <t>Sandy</t>
  </si>
  <si>
    <t>E05008802</t>
  </si>
  <si>
    <t>Shefford</t>
  </si>
  <si>
    <t>E05008803</t>
  </si>
  <si>
    <t>Silsoe and Shillington</t>
  </si>
  <si>
    <t>E05008804</t>
  </si>
  <si>
    <t>Stotfold and Langford</t>
  </si>
  <si>
    <t>E05008805</t>
  </si>
  <si>
    <t>Tithe Farm</t>
  </si>
  <si>
    <t>E05008806</t>
  </si>
  <si>
    <t>Toddington</t>
  </si>
  <si>
    <t>E05008807</t>
  </si>
  <si>
    <t>Westoning, Flitton and Greenfield</t>
  </si>
  <si>
    <t>E05008808</t>
  </si>
  <si>
    <t>Luton North and Houghton BC (pt)</t>
  </si>
  <si>
    <t>Luton South BC (pt)</t>
  </si>
  <si>
    <t>* as created by The Central Bedfordshire (Electoral Changes) Order 2011</t>
  </si>
  <si>
    <t>Barnfield</t>
  </si>
  <si>
    <t>E05002193</t>
  </si>
  <si>
    <t>Biscot</t>
  </si>
  <si>
    <t>E05002194</t>
  </si>
  <si>
    <t>Bramingham</t>
  </si>
  <si>
    <t>E05002195</t>
  </si>
  <si>
    <t>Challney</t>
  </si>
  <si>
    <t>E05002196</t>
  </si>
  <si>
    <t>Crawley</t>
  </si>
  <si>
    <t>E05002197</t>
  </si>
  <si>
    <t>Dallow</t>
  </si>
  <si>
    <t>E05002198</t>
  </si>
  <si>
    <t>Farley</t>
  </si>
  <si>
    <t>E05002199</t>
  </si>
  <si>
    <t>High Town</t>
  </si>
  <si>
    <t>E05002200</t>
  </si>
  <si>
    <t>Icknield</t>
  </si>
  <si>
    <t>E05002201</t>
  </si>
  <si>
    <t>Leagrave</t>
  </si>
  <si>
    <t>E05002202</t>
  </si>
  <si>
    <t>Lewsey</t>
  </si>
  <si>
    <t>E05002203</t>
  </si>
  <si>
    <t>Limbury</t>
  </si>
  <si>
    <t>E05002204</t>
  </si>
  <si>
    <t>Northwell</t>
  </si>
  <si>
    <t>E05002205</t>
  </si>
  <si>
    <t>Round Green</t>
  </si>
  <si>
    <t>E05002206</t>
  </si>
  <si>
    <t>Saints</t>
  </si>
  <si>
    <t>E05002207</t>
  </si>
  <si>
    <t>South</t>
  </si>
  <si>
    <t>E05002208</t>
  </si>
  <si>
    <t>Stopsley</t>
  </si>
  <si>
    <t>E05002209</t>
  </si>
  <si>
    <t>Sundon Park</t>
  </si>
  <si>
    <t>E05002210</t>
  </si>
  <si>
    <t>Wigmore</t>
  </si>
  <si>
    <t>E05002211</t>
  </si>
  <si>
    <t>* as created by The Borough of Luton (Electoral Changes) Order 2002</t>
  </si>
  <si>
    <t>CAMBRIDGESHIRE  *</t>
  </si>
  <si>
    <t>CITY OF PETERBOROUGH  *</t>
  </si>
  <si>
    <t>CITY OF CAMBRIDGE</t>
  </si>
  <si>
    <t>EAST CAMBRIDGESHIRE DISTRICT</t>
  </si>
  <si>
    <t>FENLAND DISTRICT</t>
  </si>
  <si>
    <t>HUNTINGDONSHIRE DISTRICT  *</t>
  </si>
  <si>
    <t>SOUTH CAMBRIDGESHIRE DISTRICT</t>
  </si>
  <si>
    <t>Cambridge BC</t>
  </si>
  <si>
    <t>Cambridge (pt)</t>
  </si>
  <si>
    <t>South Cambridgeshire (pt)</t>
  </si>
  <si>
    <t>Huntingdon CC</t>
  </si>
  <si>
    <t>Huntingdonshire (pt)</t>
  </si>
  <si>
    <t>North East Cambridgeshire CC</t>
  </si>
  <si>
    <t>East Cambridgeshire (pt)</t>
  </si>
  <si>
    <t>North East Hertfordshire CC</t>
  </si>
  <si>
    <t>East Hertfordshire (pt)</t>
  </si>
  <si>
    <t>North Hertfordshire (pt)</t>
  </si>
  <si>
    <t>North West Cambridgeshire CC</t>
  </si>
  <si>
    <t>Peterborough (pt)</t>
  </si>
  <si>
    <t>Peterborough BC</t>
  </si>
  <si>
    <t>South Cambridgeshire CC</t>
  </si>
  <si>
    <t>South East Cambridgeshire CC</t>
  </si>
  <si>
    <t>South West Norfolk CC</t>
  </si>
  <si>
    <t>Breckland (pt)</t>
  </si>
  <si>
    <t>King's Lynn and West Norfolk (pt)</t>
  </si>
  <si>
    <t>* as created by The Cambridgeshire (City of Peterborough) (Structural, Boundary and Electoral Changes) Order 1996</t>
  </si>
  <si>
    <t>Barnack</t>
  </si>
  <si>
    <t>E05002169</t>
  </si>
  <si>
    <t>Bretton North</t>
  </si>
  <si>
    <t>E05002170</t>
  </si>
  <si>
    <t>Bretton South</t>
  </si>
  <si>
    <t>E05002171</t>
  </si>
  <si>
    <t>E05002172</t>
  </si>
  <si>
    <t>Dogsthorpe</t>
  </si>
  <si>
    <t>E05002173</t>
  </si>
  <si>
    <t>East</t>
  </si>
  <si>
    <t>E05002174</t>
  </si>
  <si>
    <t>Eye and Thorney</t>
  </si>
  <si>
    <t>E05002175</t>
  </si>
  <si>
    <t>Fletton and Woodston</t>
  </si>
  <si>
    <t>E05002176</t>
  </si>
  <si>
    <t>Glinton and Wittering</t>
  </si>
  <si>
    <t>E05002177</t>
  </si>
  <si>
    <t>Newborough</t>
  </si>
  <si>
    <t>E05002178</t>
  </si>
  <si>
    <t>North</t>
  </si>
  <si>
    <t>E05002179</t>
  </si>
  <si>
    <t>Northborough</t>
  </si>
  <si>
    <t>E05002180</t>
  </si>
  <si>
    <t>Orton Longueville</t>
  </si>
  <si>
    <t>E05002181</t>
  </si>
  <si>
    <t>Orton Waterville</t>
  </si>
  <si>
    <t>E05002182</t>
  </si>
  <si>
    <t>Orton with Hampton</t>
  </si>
  <si>
    <t>E05002183</t>
  </si>
  <si>
    <t>E05002184</t>
  </si>
  <si>
    <t>Paston</t>
  </si>
  <si>
    <t>E05002185</t>
  </si>
  <si>
    <t>E05002186</t>
  </si>
  <si>
    <t>Stanground Central</t>
  </si>
  <si>
    <t>E05002187</t>
  </si>
  <si>
    <t>Stanground East</t>
  </si>
  <si>
    <t>E05002188</t>
  </si>
  <si>
    <t>E05002189</t>
  </si>
  <si>
    <t>Werrington North</t>
  </si>
  <si>
    <t>E05002190</t>
  </si>
  <si>
    <t>Werrington South</t>
  </si>
  <si>
    <t>E05002191</t>
  </si>
  <si>
    <t>E05002192</t>
  </si>
  <si>
    <t>North West Cambridgeshire CC (pt)</t>
  </si>
  <si>
    <t>* as created by The City of Peterborough (Electoral Changes) Order 2003 and</t>
  </si>
  <si>
    <t xml:space="preserve">   as altered by The Peterborough (Parish Electoral Arrangements and Electoral Changes) Order 2007</t>
  </si>
  <si>
    <t>CITY OF CAMBRIDGE  *</t>
  </si>
  <si>
    <t>E05002702</t>
  </si>
  <si>
    <t>E05002703</t>
  </si>
  <si>
    <t>E05002704</t>
  </si>
  <si>
    <t>Cherry Hinton</t>
  </si>
  <si>
    <t>E05002705</t>
  </si>
  <si>
    <t>Coleridge</t>
  </si>
  <si>
    <t>E05002706</t>
  </si>
  <si>
    <t>East Chesterton</t>
  </si>
  <si>
    <t>E05002707</t>
  </si>
  <si>
    <t>King's Hedges</t>
  </si>
  <si>
    <t>E05002708</t>
  </si>
  <si>
    <t>Market</t>
  </si>
  <si>
    <t>E05002709</t>
  </si>
  <si>
    <t>E05002710</t>
  </si>
  <si>
    <t>Petersfield</t>
  </si>
  <si>
    <t>E05002711</t>
  </si>
  <si>
    <t>Queen Edith's</t>
  </si>
  <si>
    <t>E05002712</t>
  </si>
  <si>
    <t>Romsey</t>
  </si>
  <si>
    <t>E05002713</t>
  </si>
  <si>
    <t>Trumpington</t>
  </si>
  <si>
    <t>E05002714</t>
  </si>
  <si>
    <t>West Chesterton</t>
  </si>
  <si>
    <t>E05002715</t>
  </si>
  <si>
    <t>* as created by The City of Cambridge (Electoral Changes) Order 2002</t>
  </si>
  <si>
    <t>EAST CAMBRIDGESHIRE DISTRICT  *</t>
  </si>
  <si>
    <t>Bottisham</t>
  </si>
  <si>
    <t>E05002716</t>
  </si>
  <si>
    <t>Burwell</t>
  </si>
  <si>
    <t>E05002717</t>
  </si>
  <si>
    <t>Cheveley</t>
  </si>
  <si>
    <t>E05002718</t>
  </si>
  <si>
    <t>Downham Villages</t>
  </si>
  <si>
    <t>E05002719</t>
  </si>
  <si>
    <t>Dullingham Villages</t>
  </si>
  <si>
    <t>E05002720</t>
  </si>
  <si>
    <t>Ely East</t>
  </si>
  <si>
    <t>E05002721</t>
  </si>
  <si>
    <t>Ely North</t>
  </si>
  <si>
    <t>E05002722</t>
  </si>
  <si>
    <t>Ely South</t>
  </si>
  <si>
    <t>E05002723</t>
  </si>
  <si>
    <t>Ely West</t>
  </si>
  <si>
    <t>E05002724</t>
  </si>
  <si>
    <t>Fordham Villages</t>
  </si>
  <si>
    <t>E05002725</t>
  </si>
  <si>
    <t>Haddenham</t>
  </si>
  <si>
    <t>E05002726</t>
  </si>
  <si>
    <t>Isleham</t>
  </si>
  <si>
    <t>E05002727</t>
  </si>
  <si>
    <t>Littleport East</t>
  </si>
  <si>
    <t>E05002728</t>
  </si>
  <si>
    <t>Littleport West</t>
  </si>
  <si>
    <t>E05002729</t>
  </si>
  <si>
    <t>Soham North</t>
  </si>
  <si>
    <t>E05002730</t>
  </si>
  <si>
    <t>Soham South</t>
  </si>
  <si>
    <t>E05002731</t>
  </si>
  <si>
    <t>Stretham</t>
  </si>
  <si>
    <t>E05002732</t>
  </si>
  <si>
    <t>E05002733</t>
  </si>
  <si>
    <t>The Swaffhams</t>
  </si>
  <si>
    <t>E05002734</t>
  </si>
  <si>
    <t>North East Cambridgeshire CC (pt)</t>
  </si>
  <si>
    <t>South East Cambridgeshire CC (pt)</t>
  </si>
  <si>
    <t>South West Norfolk CC (pt)</t>
  </si>
  <si>
    <t>* as created by The District of East Cambridgeshire (Electoral Changes) Order 2002</t>
  </si>
  <si>
    <t>FENLAND DISTRICT  *</t>
  </si>
  <si>
    <t>Bassenhally</t>
  </si>
  <si>
    <t>E05009491</t>
  </si>
  <si>
    <t>Benwick, Coates &amp; Eastrea</t>
  </si>
  <si>
    <t>E05009492</t>
  </si>
  <si>
    <t>E05009493</t>
  </si>
  <si>
    <t>Clarkson</t>
  </si>
  <si>
    <t>E05009494</t>
  </si>
  <si>
    <t>Doddington &amp; Wimblington</t>
  </si>
  <si>
    <t>E05009495</t>
  </si>
  <si>
    <t>Elm &amp; Christchurch</t>
  </si>
  <si>
    <t>E05009496</t>
  </si>
  <si>
    <t>Kirkgate</t>
  </si>
  <si>
    <t>E05009497</t>
  </si>
  <si>
    <t>Lattersey</t>
  </si>
  <si>
    <t>E05009498</t>
  </si>
  <si>
    <t>Manea</t>
  </si>
  <si>
    <t>E05009499</t>
  </si>
  <si>
    <t>March East</t>
  </si>
  <si>
    <t>E05009500</t>
  </si>
  <si>
    <t>March North</t>
  </si>
  <si>
    <t>E05009501</t>
  </si>
  <si>
    <t>March West</t>
  </si>
  <si>
    <t>E05009502</t>
  </si>
  <si>
    <t>Medworth</t>
  </si>
  <si>
    <t>E05009503</t>
  </si>
  <si>
    <t>Octavia Hill</t>
  </si>
  <si>
    <t>E05009504</t>
  </si>
  <si>
    <t>Parson Drove &amp; Wisbech St Mary</t>
  </si>
  <si>
    <t>E05009505</t>
  </si>
  <si>
    <t>Peckover</t>
  </si>
  <si>
    <t>E05009506</t>
  </si>
  <si>
    <t>Roman Bank</t>
  </si>
  <si>
    <t>E05009507</t>
  </si>
  <si>
    <t>E05009508</t>
  </si>
  <si>
    <t>Slade Lode</t>
  </si>
  <si>
    <t>E05009509</t>
  </si>
  <si>
    <t>Staithe</t>
  </si>
  <si>
    <t>E05009510</t>
  </si>
  <si>
    <t>Stonald</t>
  </si>
  <si>
    <t>E05009511</t>
  </si>
  <si>
    <t>The Mills</t>
  </si>
  <si>
    <t>E05009512</t>
  </si>
  <si>
    <t>Waterlees Village</t>
  </si>
  <si>
    <t>E05009513</t>
  </si>
  <si>
    <t>Wenneye</t>
  </si>
  <si>
    <t>E05009514</t>
  </si>
  <si>
    <t>* as created by The Fenland (Electoral Changes) Order 2014</t>
  </si>
  <si>
    <t>Alconbury and The Stukeleys</t>
  </si>
  <si>
    <t>E05008525</t>
  </si>
  <si>
    <t>Brampton</t>
  </si>
  <si>
    <t>E05002763</t>
  </si>
  <si>
    <t>Buckden</t>
  </si>
  <si>
    <t>E05008526</t>
  </si>
  <si>
    <t>Earith</t>
  </si>
  <si>
    <t>E05008527</t>
  </si>
  <si>
    <t>Ellington</t>
  </si>
  <si>
    <t>E05008576</t>
  </si>
  <si>
    <t>Elton and Folksworth</t>
  </si>
  <si>
    <t>E05002767</t>
  </si>
  <si>
    <t>Fenstanton</t>
  </si>
  <si>
    <t>E05008577</t>
  </si>
  <si>
    <t>Godmanchester</t>
  </si>
  <si>
    <t>E05002769</t>
  </si>
  <si>
    <t>Gransden and The Offords</t>
  </si>
  <si>
    <t>E05008528</t>
  </si>
  <si>
    <t>Huntingdon East</t>
  </si>
  <si>
    <t>E05002771</t>
  </si>
  <si>
    <t>Huntingdon North</t>
  </si>
  <si>
    <t>E05002772</t>
  </si>
  <si>
    <t>Huntingdon West</t>
  </si>
  <si>
    <t>E05008529</t>
  </si>
  <si>
    <t>Kimbolton and Staughton</t>
  </si>
  <si>
    <t>E05008578</t>
  </si>
  <si>
    <t>Little Paxton</t>
  </si>
  <si>
    <t>E05008579</t>
  </si>
  <si>
    <t>Ramsey</t>
  </si>
  <si>
    <t>E05008531</t>
  </si>
  <si>
    <t>E05008937</t>
  </si>
  <si>
    <t>St Ives South</t>
  </si>
  <si>
    <t>E05008580</t>
  </si>
  <si>
    <t>E05002779</t>
  </si>
  <si>
    <t>St Neots Eaton Ford</t>
  </si>
  <si>
    <t>E05008581</t>
  </si>
  <si>
    <t>St Neots Eaton Socon</t>
  </si>
  <si>
    <t>E05002781</t>
  </si>
  <si>
    <t>St Neots Eynesbury</t>
  </si>
  <si>
    <t>E05008533</t>
  </si>
  <si>
    <t>St Neots Priory Park</t>
  </si>
  <si>
    <t>E05008582</t>
  </si>
  <si>
    <t>Sawtry</t>
  </si>
  <si>
    <t>E05002784</t>
  </si>
  <si>
    <t>Somersham</t>
  </si>
  <si>
    <t>E05008938</t>
  </si>
  <si>
    <t>Stilton</t>
  </si>
  <si>
    <t>E05002786</t>
  </si>
  <si>
    <t>The Hemingfords</t>
  </si>
  <si>
    <t>E05008535</t>
  </si>
  <si>
    <t>Upwood and The Raveleys</t>
  </si>
  <si>
    <t>E05008584</t>
  </si>
  <si>
    <t>Warboys and Bury</t>
  </si>
  <si>
    <t>E05008939</t>
  </si>
  <si>
    <t>Yaxley and Farcet</t>
  </si>
  <si>
    <t>E05002790</t>
  </si>
  <si>
    <t>South Cambridgeshire CC (pt)</t>
  </si>
  <si>
    <t>* as created by The District of Huntingdonshire (Electoral Changes) Order 2002 and</t>
  </si>
  <si>
    <t xml:space="preserve">   as altered by The Huntingdonshire (Related Alterations) Order 2010</t>
  </si>
  <si>
    <t>SOUTH CAMBRIDGESHIRE DISTRICT  *</t>
  </si>
  <si>
    <t>Balsham</t>
  </si>
  <si>
    <t>E05002791</t>
  </si>
  <si>
    <t>Bar Hill</t>
  </si>
  <si>
    <t>E05002792</t>
  </si>
  <si>
    <t>E05002793</t>
  </si>
  <si>
    <t>Bassingbourn</t>
  </si>
  <si>
    <t>E05002794</t>
  </si>
  <si>
    <t>Bourn</t>
  </si>
  <si>
    <t>E05002795</t>
  </si>
  <si>
    <t>Caldecote</t>
  </si>
  <si>
    <t>E05002796</t>
  </si>
  <si>
    <t>Comberton</t>
  </si>
  <si>
    <t>E05002797</t>
  </si>
  <si>
    <t>Cottenham</t>
  </si>
  <si>
    <t>E05002798</t>
  </si>
  <si>
    <t>Duxford</t>
  </si>
  <si>
    <t>E05002799</t>
  </si>
  <si>
    <t>Fowlmere and Foxton</t>
  </si>
  <si>
    <t>E05002800</t>
  </si>
  <si>
    <t>Fulbourn</t>
  </si>
  <si>
    <t>E05002801</t>
  </si>
  <si>
    <t>Gamlingay</t>
  </si>
  <si>
    <t>E05002802</t>
  </si>
  <si>
    <t>Girton</t>
  </si>
  <si>
    <t>E05002803</t>
  </si>
  <si>
    <t>Hardwick</t>
  </si>
  <si>
    <t>E05002804</t>
  </si>
  <si>
    <t>Harston and Hauxton</t>
  </si>
  <si>
    <t>E05002805</t>
  </si>
  <si>
    <t>Haslingfield and The Eversdens</t>
  </si>
  <si>
    <t>E05002806</t>
  </si>
  <si>
    <t>Histon and Impington</t>
  </si>
  <si>
    <t>E05002807</t>
  </si>
  <si>
    <t>E05002808</t>
  </si>
  <si>
    <t>Longstanton</t>
  </si>
  <si>
    <t>E05002809</t>
  </si>
  <si>
    <t>Melbourn</t>
  </si>
  <si>
    <t>E05002810</t>
  </si>
  <si>
    <t>Meldreth</t>
  </si>
  <si>
    <t>E05002811</t>
  </si>
  <si>
    <t>Milton</t>
  </si>
  <si>
    <t>E05002812</t>
  </si>
  <si>
    <t>Orwell and Barrington</t>
  </si>
  <si>
    <t>E05002813</t>
  </si>
  <si>
    <t>Papworth and Elsworth</t>
  </si>
  <si>
    <t>E05002814</t>
  </si>
  <si>
    <t>Sawston</t>
  </si>
  <si>
    <t>E05002815</t>
  </si>
  <si>
    <t>Swavesey</t>
  </si>
  <si>
    <t>E05002816</t>
  </si>
  <si>
    <t>Teversham</t>
  </si>
  <si>
    <t>E05002817</t>
  </si>
  <si>
    <t>The Abingtons</t>
  </si>
  <si>
    <t>E05002818</t>
  </si>
  <si>
    <t>The Mordens</t>
  </si>
  <si>
    <t>E05002819</t>
  </si>
  <si>
    <t>The Shelfords and Stapleford</t>
  </si>
  <si>
    <t>E05002820</t>
  </si>
  <si>
    <t>The Wilbrahams</t>
  </si>
  <si>
    <t>E05002821</t>
  </si>
  <si>
    <t>Waterbeach</t>
  </si>
  <si>
    <t>E05002822</t>
  </si>
  <si>
    <t>Whittlesford</t>
  </si>
  <si>
    <t>E05002823</t>
  </si>
  <si>
    <t>Willingham and Over</t>
  </si>
  <si>
    <t>E05002824</t>
  </si>
  <si>
    <t>Cambridge BC (pt)</t>
  </si>
  <si>
    <t>North East Hertfordshire CC (pt)</t>
  </si>
  <si>
    <t>* as created by The District of South Cambridgeshire (Electoral Changes) Order 2002 and</t>
  </si>
  <si>
    <t xml:space="preserve">   as altered by The South Cambridgeshire (Electoral Changes) Order 2008</t>
  </si>
  <si>
    <t>ESSEX  *</t>
  </si>
  <si>
    <t>SOUTHEND-ON-SEA BOROUGH  *</t>
  </si>
  <si>
    <t>THURROCK BOROUGH  *</t>
  </si>
  <si>
    <t>BASILDON BOROUGH</t>
  </si>
  <si>
    <t>BRAINTREE DISTRICT</t>
  </si>
  <si>
    <t>BRENTWOOD BOROUGH</t>
  </si>
  <si>
    <t>CASTLE POINT BOROUGH</t>
  </si>
  <si>
    <t>CITY OF CHELMSFORD</t>
  </si>
  <si>
    <t>COLCHESTER BOROUGH</t>
  </si>
  <si>
    <t>EPPING FOREST DISTRICT</t>
  </si>
  <si>
    <t>HARLOW DISTRICT</t>
  </si>
  <si>
    <t>MALDON DISTRICT</t>
  </si>
  <si>
    <t>ROCHFORD DISTRICT</t>
  </si>
  <si>
    <t>TENDRING DISTRICT</t>
  </si>
  <si>
    <t>UTTLESFORD DISTRICT</t>
  </si>
  <si>
    <t>Basildon and Billericay CC</t>
  </si>
  <si>
    <t>Basildon (pt)</t>
  </si>
  <si>
    <t>Chelmsford (pt)</t>
  </si>
  <si>
    <t>Braintree CC</t>
  </si>
  <si>
    <t>Braintree (pt)</t>
  </si>
  <si>
    <t>Brentwood and Ongar CC</t>
  </si>
  <si>
    <t>Brentwood (pt)</t>
  </si>
  <si>
    <t>Epping Forest (pt)</t>
  </si>
  <si>
    <t>Castle Point BC</t>
  </si>
  <si>
    <t>Castle Point (pt)</t>
  </si>
  <si>
    <t>Chelmsford BC</t>
  </si>
  <si>
    <t>Colchester BC</t>
  </si>
  <si>
    <t>Colchester (pt)</t>
  </si>
  <si>
    <t xml:space="preserve">Epping Forest CC </t>
  </si>
  <si>
    <t>Harlow CC</t>
  </si>
  <si>
    <t>Harwich and Clacton CC</t>
  </si>
  <si>
    <t>Tendring (pt)</t>
  </si>
  <si>
    <t>North East Essex CC</t>
  </si>
  <si>
    <t>Rayleigh Woodham Ferrers CC</t>
  </si>
  <si>
    <t>Maldon (pt)</t>
  </si>
  <si>
    <t>Rochford (pt)</t>
  </si>
  <si>
    <t>Rochford and Southend East CC</t>
  </si>
  <si>
    <t>Southend-on-Sea (pt)</t>
  </si>
  <si>
    <t>Saffron Walden CC</t>
  </si>
  <si>
    <t>South Basildon and East Thurrock CC</t>
  </si>
  <si>
    <t>Thurrock (pt)</t>
  </si>
  <si>
    <t>Southend West BC</t>
  </si>
  <si>
    <t>Thurrock BC</t>
  </si>
  <si>
    <t>Witham and Maldon CC</t>
  </si>
  <si>
    <t>* as created by The Essex (Boroughs of Colchester, Southend-on-Sea and Thurrock and District of Tendring) (Structural, Boundary and Electoral Changes) Order 1996</t>
  </si>
  <si>
    <t>Belfairs</t>
  </si>
  <si>
    <t>E05002212</t>
  </si>
  <si>
    <t>Blenheim Park</t>
  </si>
  <si>
    <t>E05002213</t>
  </si>
  <si>
    <t>Chalkwell</t>
  </si>
  <si>
    <t>E05002214</t>
  </si>
  <si>
    <t>Eastwood Park</t>
  </si>
  <si>
    <t>E05002215</t>
  </si>
  <si>
    <t>Kursaal</t>
  </si>
  <si>
    <t>E05002216</t>
  </si>
  <si>
    <t>Leigh</t>
  </si>
  <si>
    <t>E05002217</t>
  </si>
  <si>
    <t>E05002218</t>
  </si>
  <si>
    <t>Prittlewell</t>
  </si>
  <si>
    <t>E05002219</t>
  </si>
  <si>
    <t>St Laurence</t>
  </si>
  <si>
    <t>E05002220</t>
  </si>
  <si>
    <t>St Luke's</t>
  </si>
  <si>
    <t>E05002221</t>
  </si>
  <si>
    <t>Shoeburyness</t>
  </si>
  <si>
    <t>E05002222</t>
  </si>
  <si>
    <t>Southchurch</t>
  </si>
  <si>
    <t>E05002223</t>
  </si>
  <si>
    <t>Thorpe</t>
  </si>
  <si>
    <t>E05002224</t>
  </si>
  <si>
    <t>E05002225</t>
  </si>
  <si>
    <t>Westborough</t>
  </si>
  <si>
    <t>E05002226</t>
  </si>
  <si>
    <t>West Leigh</t>
  </si>
  <si>
    <t>E05002227</t>
  </si>
  <si>
    <t>West Shoebury</t>
  </si>
  <si>
    <t>E05002228</t>
  </si>
  <si>
    <t>Rochford and Southend East CC (pt)</t>
  </si>
  <si>
    <t>* as created by The Borough of Southend-on-Sea (Electoral Changes) Order 2000</t>
  </si>
  <si>
    <t>Aveley and Uplands</t>
  </si>
  <si>
    <t>E05002229</t>
  </si>
  <si>
    <t>Belhus</t>
  </si>
  <si>
    <t>E05002230</t>
  </si>
  <si>
    <t>Chadwell St Mary</t>
  </si>
  <si>
    <t>E05002231</t>
  </si>
  <si>
    <t>Chafford and North Stifford</t>
  </si>
  <si>
    <t>E05002232</t>
  </si>
  <si>
    <t>Corringham and Fobbing</t>
  </si>
  <si>
    <t>E05002233</t>
  </si>
  <si>
    <t>East Tilbury</t>
  </si>
  <si>
    <t>E05002234</t>
  </si>
  <si>
    <t>Grays Riverside</t>
  </si>
  <si>
    <t>E05002235</t>
  </si>
  <si>
    <t>Grays Thurrock</t>
  </si>
  <si>
    <t>E05002236</t>
  </si>
  <si>
    <t>Little Thurrock Blackshots</t>
  </si>
  <si>
    <t>E05002237</t>
  </si>
  <si>
    <t>Little Thurrock Rectory</t>
  </si>
  <si>
    <t>E05002238</t>
  </si>
  <si>
    <t>Ockendon</t>
  </si>
  <si>
    <t>E05002239</t>
  </si>
  <si>
    <t>Orsett</t>
  </si>
  <si>
    <t>E05002240</t>
  </si>
  <si>
    <t>South Chafford</t>
  </si>
  <si>
    <t>E05002241</t>
  </si>
  <si>
    <t>Stanford East and Corringham Town</t>
  </si>
  <si>
    <t>E05002242</t>
  </si>
  <si>
    <t>Stanford-le-Hope West</t>
  </si>
  <si>
    <t>E05002243</t>
  </si>
  <si>
    <t>Stifford Clays</t>
  </si>
  <si>
    <t>E05002244</t>
  </si>
  <si>
    <t>The Homesteads</t>
  </si>
  <si>
    <t>E05002245</t>
  </si>
  <si>
    <t>Tilbury Riverside and Thurrock Park</t>
  </si>
  <si>
    <t>E05002246</t>
  </si>
  <si>
    <t>Tilbury St Chads</t>
  </si>
  <si>
    <t>E05002247</t>
  </si>
  <si>
    <t>West Thurrock and South Stifford</t>
  </si>
  <si>
    <t>E05002248</t>
  </si>
  <si>
    <t>South Basildon and East Thurrock CC (pt)</t>
  </si>
  <si>
    <t>* as created by The Borough of Thurrock (Electoral Changes) Order 2002</t>
  </si>
  <si>
    <t>BASILDON BOROUGH  *</t>
  </si>
  <si>
    <t>Billericay East</t>
  </si>
  <si>
    <t>E05004021</t>
  </si>
  <si>
    <t>Billericay West</t>
  </si>
  <si>
    <t>E05004022</t>
  </si>
  <si>
    <t>Burstead</t>
  </si>
  <si>
    <t>E05004023</t>
  </si>
  <si>
    <t>Crouch</t>
  </si>
  <si>
    <t>E05004024</t>
  </si>
  <si>
    <t>Fryerns</t>
  </si>
  <si>
    <t>E05004025</t>
  </si>
  <si>
    <t>Laindon Park</t>
  </si>
  <si>
    <t>E05004026</t>
  </si>
  <si>
    <t>Langdon Hills</t>
  </si>
  <si>
    <t>E05004027</t>
  </si>
  <si>
    <t>Lee Chapel North</t>
  </si>
  <si>
    <t>E05004028</t>
  </si>
  <si>
    <t>Nethermayne</t>
  </si>
  <si>
    <t>E05004029</t>
  </si>
  <si>
    <t>Pitsea North West</t>
  </si>
  <si>
    <t>E05004030</t>
  </si>
  <si>
    <t>Pitsea South East</t>
  </si>
  <si>
    <t>E05004031</t>
  </si>
  <si>
    <t>E05004032</t>
  </si>
  <si>
    <t>Vange</t>
  </si>
  <si>
    <t>E05004033</t>
  </si>
  <si>
    <t>Wickford Castledon</t>
  </si>
  <si>
    <t>E05004034</t>
  </si>
  <si>
    <t>Wickford North</t>
  </si>
  <si>
    <t>E05004035</t>
  </si>
  <si>
    <t>Wickford Park</t>
  </si>
  <si>
    <t>E05004036</t>
  </si>
  <si>
    <t>Basildon and Billericay CC (pt)</t>
  </si>
  <si>
    <t>Castle Point BC (pt)</t>
  </si>
  <si>
    <t>* as created by The District of Basildon (Electoral Changes) Order 2001</t>
  </si>
  <si>
    <t xml:space="preserve">   The District of Basildon was granted Borough status on 26 October 2010</t>
  </si>
  <si>
    <t>BRAINTREE DISTRICT  *</t>
  </si>
  <si>
    <t>Bocking Blackwater</t>
  </si>
  <si>
    <t>E05010365</t>
  </si>
  <si>
    <t>Bocking North</t>
  </si>
  <si>
    <t>E05010366</t>
  </si>
  <si>
    <t>Bocking South</t>
  </si>
  <si>
    <t>E05010367</t>
  </si>
  <si>
    <t>Braintree Central &amp; Beckers Green</t>
  </si>
  <si>
    <t>E05010368</t>
  </si>
  <si>
    <t>Braintree South</t>
  </si>
  <si>
    <t>E05010369</t>
  </si>
  <si>
    <t>Braintree West</t>
  </si>
  <si>
    <t>E05010370</t>
  </si>
  <si>
    <t>Bumpstead</t>
  </si>
  <si>
    <t>E05010371</t>
  </si>
  <si>
    <t>Coggeshall</t>
  </si>
  <si>
    <t>E05010372</t>
  </si>
  <si>
    <t>Gosfield &amp; Greenstead Green</t>
  </si>
  <si>
    <t>E05010373</t>
  </si>
  <si>
    <t>Great Notley &amp; Black Notley</t>
  </si>
  <si>
    <t>E05010374</t>
  </si>
  <si>
    <t>Halstead St Andrew's</t>
  </si>
  <si>
    <t>E05010375</t>
  </si>
  <si>
    <t>Halstead Trinity</t>
  </si>
  <si>
    <t>E05010376</t>
  </si>
  <si>
    <t>Hatfield Peverel &amp; Terling</t>
  </si>
  <si>
    <t>E05010377</t>
  </si>
  <si>
    <t>Hedingham</t>
  </si>
  <si>
    <t>E05010378</t>
  </si>
  <si>
    <t>Kelvedon &amp; Feering</t>
  </si>
  <si>
    <t>E05010379</t>
  </si>
  <si>
    <t>Rayne</t>
  </si>
  <si>
    <t>E05010380</t>
  </si>
  <si>
    <t>Silver End &amp; Cressing</t>
  </si>
  <si>
    <t>E05010381</t>
  </si>
  <si>
    <t>Stour Valley North</t>
  </si>
  <si>
    <t>E05010382</t>
  </si>
  <si>
    <t>Stour Valley South</t>
  </si>
  <si>
    <t>E05010383</t>
  </si>
  <si>
    <t>The Colnes</t>
  </si>
  <si>
    <t>E05010384</t>
  </si>
  <si>
    <t>Three Fields</t>
  </si>
  <si>
    <t>E05010385</t>
  </si>
  <si>
    <t>Witham Central</t>
  </si>
  <si>
    <t>E05010386</t>
  </si>
  <si>
    <t>Witham North</t>
  </si>
  <si>
    <t>E05010387</t>
  </si>
  <si>
    <t>Witham South</t>
  </si>
  <si>
    <t>E05010388</t>
  </si>
  <si>
    <t>Witham West</t>
  </si>
  <si>
    <t>E05010389</t>
  </si>
  <si>
    <t>Yeldham</t>
  </si>
  <si>
    <t>E05010390</t>
  </si>
  <si>
    <t>Saffron Walden CC (pt)</t>
  </si>
  <si>
    <t>Witham and Maldon CC (pt)</t>
  </si>
  <si>
    <t>* as created by The Braintree (Electoral Changes) Order 2014</t>
  </si>
  <si>
    <t>BRENTWOOD BOROUGH  *</t>
  </si>
  <si>
    <t>Brentwood North</t>
  </si>
  <si>
    <t>E05004067</t>
  </si>
  <si>
    <t>Brentwood South</t>
  </si>
  <si>
    <t>E05004068</t>
  </si>
  <si>
    <t>Brentwood West</t>
  </si>
  <si>
    <t>E05004069</t>
  </si>
  <si>
    <t>Brizes and Doddinghurst</t>
  </si>
  <si>
    <t>E05004070</t>
  </si>
  <si>
    <t>Herongate, Ingrave and West Horndon</t>
  </si>
  <si>
    <t>E05004071</t>
  </si>
  <si>
    <t>Hutton Central</t>
  </si>
  <si>
    <t>E05004072</t>
  </si>
  <si>
    <t>Hutton East</t>
  </si>
  <si>
    <t>E05004073</t>
  </si>
  <si>
    <t>Hutton North</t>
  </si>
  <si>
    <t>E05004074</t>
  </si>
  <si>
    <t>Hutton South</t>
  </si>
  <si>
    <t>E05004075</t>
  </si>
  <si>
    <t>Ingatestone, Fryerning and Mountnessing</t>
  </si>
  <si>
    <t>E05004076</t>
  </si>
  <si>
    <t>Pilgrims Hatch</t>
  </si>
  <si>
    <t>E05004077</t>
  </si>
  <si>
    <t>Shenfield</t>
  </si>
  <si>
    <t>E05004078</t>
  </si>
  <si>
    <t>South Weald</t>
  </si>
  <si>
    <t>E05004079</t>
  </si>
  <si>
    <t>Tipps Cross</t>
  </si>
  <si>
    <t>E05004080</t>
  </si>
  <si>
    <t>Warley</t>
  </si>
  <si>
    <t>E05004081</t>
  </si>
  <si>
    <t>Brentwood and Ongar CC (pt)</t>
  </si>
  <si>
    <t>*  as created by The Borough of Brentwood (Electoral Changes) Order 2001</t>
  </si>
  <si>
    <t>CASTLE POINT BOROUGH  *</t>
  </si>
  <si>
    <t>Appleton</t>
  </si>
  <si>
    <t>E05004082</t>
  </si>
  <si>
    <t>Boyce</t>
  </si>
  <si>
    <t>E05004083</t>
  </si>
  <si>
    <t>Canvey Island Central</t>
  </si>
  <si>
    <t>E05004084</t>
  </si>
  <si>
    <t>Canvey Island East</t>
  </si>
  <si>
    <t>E05004085</t>
  </si>
  <si>
    <t>Canvey Island North</t>
  </si>
  <si>
    <t>E05004086</t>
  </si>
  <si>
    <t>Canvey Island South</t>
  </si>
  <si>
    <t>E05004087</t>
  </si>
  <si>
    <t>Canvey Island West</t>
  </si>
  <si>
    <t>E05004088</t>
  </si>
  <si>
    <t>Canvey Island Winter Gardens</t>
  </si>
  <si>
    <t>E05004089</t>
  </si>
  <si>
    <t>Cedar Hall</t>
  </si>
  <si>
    <t>E05004090</t>
  </si>
  <si>
    <t>St George's</t>
  </si>
  <si>
    <t>E05004091</t>
  </si>
  <si>
    <t>E05004092</t>
  </si>
  <si>
    <t>E05004093</t>
  </si>
  <si>
    <t>E05004094</t>
  </si>
  <si>
    <t>E05004095</t>
  </si>
  <si>
    <t>Southend West BC (pt)</t>
  </si>
  <si>
    <t>* as created by The Borough of Castle Point (Electoral Changes) Order 2001</t>
  </si>
  <si>
    <t>CITY OF CHELMSFORD *</t>
  </si>
  <si>
    <t>Bicknacre and East and West Hanningfield</t>
  </si>
  <si>
    <t>E05004096</t>
  </si>
  <si>
    <t>Boreham and The Leighs</t>
  </si>
  <si>
    <t>E05004097</t>
  </si>
  <si>
    <t>Broomfield and The Walthams</t>
  </si>
  <si>
    <t>E05004098</t>
  </si>
  <si>
    <t>Chelmer Village and Beaulieu Park</t>
  </si>
  <si>
    <t>E05004099</t>
  </si>
  <si>
    <t>Chelmsford Rural West</t>
  </si>
  <si>
    <t>E05004100</t>
  </si>
  <si>
    <t>Galleywood</t>
  </si>
  <si>
    <t>E05004101</t>
  </si>
  <si>
    <t>Goat Hall</t>
  </si>
  <si>
    <t>E05004102</t>
  </si>
  <si>
    <t>Great Baddow East</t>
  </si>
  <si>
    <t>E05004103</t>
  </si>
  <si>
    <t>Great Baddow West</t>
  </si>
  <si>
    <t>E05004104</t>
  </si>
  <si>
    <t>Little Baddow, Danbury and Sandon</t>
  </si>
  <si>
    <t>E05004105</t>
  </si>
  <si>
    <t>Marconi</t>
  </si>
  <si>
    <t>E05004106</t>
  </si>
  <si>
    <t>Moulsham and Central</t>
  </si>
  <si>
    <t>E05004107</t>
  </si>
  <si>
    <t>Moulsham Lodge</t>
  </si>
  <si>
    <t>E05004108</t>
  </si>
  <si>
    <t>Patching Hall</t>
  </si>
  <si>
    <t>E05004109</t>
  </si>
  <si>
    <t>Rettendon and Runwell</t>
  </si>
  <si>
    <t>E05004110</t>
  </si>
  <si>
    <t>E05004111</t>
  </si>
  <si>
    <t>South Hanningfield, Stock and Margaretting</t>
  </si>
  <si>
    <t>E05004112</t>
  </si>
  <si>
    <t>South Woodham - Chetwood and Collingwood</t>
  </si>
  <si>
    <t>E05004113</t>
  </si>
  <si>
    <t>South Woodham - Elmwood and Woodville</t>
  </si>
  <si>
    <t>E05004114</t>
  </si>
  <si>
    <t>Springfield North</t>
  </si>
  <si>
    <t>E05004115</t>
  </si>
  <si>
    <t>The Lawns</t>
  </si>
  <si>
    <t>E05004116</t>
  </si>
  <si>
    <t>E05004117</t>
  </si>
  <si>
    <t>Waterhouse Farm</t>
  </si>
  <si>
    <t>E05004118</t>
  </si>
  <si>
    <t>Writtle</t>
  </si>
  <si>
    <t>E05004119</t>
  </si>
  <si>
    <t>* as created by The Borough of Chelmsford (Electoral Changes) Order 2001</t>
  </si>
  <si>
    <t xml:space="preserve">   Borough granted City status on 14 March 2012</t>
  </si>
  <si>
    <t>COLCHESTER BOROUGH  *</t>
  </si>
  <si>
    <t>Berechurch</t>
  </si>
  <si>
    <t>E05004120</t>
  </si>
  <si>
    <t>Birch and Winstree</t>
  </si>
  <si>
    <t>E05004121</t>
  </si>
  <si>
    <t>E05004122</t>
  </si>
  <si>
    <t>Christ Church</t>
  </si>
  <si>
    <t>E05004123</t>
  </si>
  <si>
    <t>Copford and West Stanway</t>
  </si>
  <si>
    <t>E05004124</t>
  </si>
  <si>
    <t>Dedham and Langham</t>
  </si>
  <si>
    <t>E05004125</t>
  </si>
  <si>
    <t>East Donyland</t>
  </si>
  <si>
    <t>E05004126</t>
  </si>
  <si>
    <t>Fordham and Stour</t>
  </si>
  <si>
    <t>E05004127</t>
  </si>
  <si>
    <t>Great Tey</t>
  </si>
  <si>
    <t>E05004128</t>
  </si>
  <si>
    <t>Old Heath</t>
  </si>
  <si>
    <t>E05004129</t>
  </si>
  <si>
    <t>Highwoods</t>
  </si>
  <si>
    <t>E05004130</t>
  </si>
  <si>
    <t>Lexden</t>
  </si>
  <si>
    <t>E05004131</t>
  </si>
  <si>
    <t>Marks Tey</t>
  </si>
  <si>
    <t>E05004132</t>
  </si>
  <si>
    <t>Mile End</t>
  </si>
  <si>
    <t>E05004133</t>
  </si>
  <si>
    <t>New Town</t>
  </si>
  <si>
    <t>E05004134</t>
  </si>
  <si>
    <t>Prettygate</t>
  </si>
  <si>
    <t>E05004135</t>
  </si>
  <si>
    <t>Pyefleet</t>
  </si>
  <si>
    <t>E05004136</t>
  </si>
  <si>
    <t>St Andrew's</t>
  </si>
  <si>
    <t>E05004137</t>
  </si>
  <si>
    <t>E05004138</t>
  </si>
  <si>
    <t>E05004139</t>
  </si>
  <si>
    <t>Shrub End</t>
  </si>
  <si>
    <t>E05004140</t>
  </si>
  <si>
    <t>Stanway</t>
  </si>
  <si>
    <t>E05004141</t>
  </si>
  <si>
    <t>Tiptree</t>
  </si>
  <si>
    <t>E05004142</t>
  </si>
  <si>
    <t>West Bergholt and Eight Ash Green</t>
  </si>
  <si>
    <t>E05004143</t>
  </si>
  <si>
    <t>West Mersea</t>
  </si>
  <si>
    <t>E05004144</t>
  </si>
  <si>
    <t>Wivenhoe Cross</t>
  </si>
  <si>
    <t>E05004145</t>
  </si>
  <si>
    <t>Wivenhoe Quay</t>
  </si>
  <si>
    <t>E05004146</t>
  </si>
  <si>
    <t>North East Essex CC (pt)</t>
  </si>
  <si>
    <t>* as created by The Borough of Colchester (Electoral Changes) Order 2001</t>
  </si>
  <si>
    <t>EPPING FOREST DISTRICT  *</t>
  </si>
  <si>
    <t>Broadley Common, Epping Upland and Nazeing</t>
  </si>
  <si>
    <t>E05004147</t>
  </si>
  <si>
    <t>Epping Forest CC</t>
  </si>
  <si>
    <t>Buckhurst Hill East</t>
  </si>
  <si>
    <t>E05004148</t>
  </si>
  <si>
    <t>Buckhurst Hill West</t>
  </si>
  <si>
    <t>E05004149</t>
  </si>
  <si>
    <t>Chigwell Row</t>
  </si>
  <si>
    <t>E05004150</t>
  </si>
  <si>
    <t>Chigwell Village</t>
  </si>
  <si>
    <t>E05004151</t>
  </si>
  <si>
    <t>Chipping Ongar, Greensted and Marden Ash</t>
  </si>
  <si>
    <t>E05004152</t>
  </si>
  <si>
    <t>Epping Hemnall</t>
  </si>
  <si>
    <t>E05004153</t>
  </si>
  <si>
    <t>Epping Lindsey and Thornwood Common</t>
  </si>
  <si>
    <t>E05004154</t>
  </si>
  <si>
    <t>Grange Hill</t>
  </si>
  <si>
    <t>E05004155</t>
  </si>
  <si>
    <t>Hastingwood, Matching and Sheering Village</t>
  </si>
  <si>
    <t>E05008940</t>
  </si>
  <si>
    <t>High Ongar, Willingale and The Rodings</t>
  </si>
  <si>
    <t>E05004157</t>
  </si>
  <si>
    <t>Lambourne</t>
  </si>
  <si>
    <t>E05004158</t>
  </si>
  <si>
    <t>Loughton Alderton</t>
  </si>
  <si>
    <t>E05004159</t>
  </si>
  <si>
    <t>Loughton Broadway</t>
  </si>
  <si>
    <t>E05004160</t>
  </si>
  <si>
    <t>Loughton Fairmead</t>
  </si>
  <si>
    <t>E05004161</t>
  </si>
  <si>
    <t>Loughton Forest</t>
  </si>
  <si>
    <t>E05004162</t>
  </si>
  <si>
    <t>Loughton Roding</t>
  </si>
  <si>
    <t>E05004163</t>
  </si>
  <si>
    <t>Loughton St John's</t>
  </si>
  <si>
    <t>E05004164</t>
  </si>
  <si>
    <t>Loughton St Mary's</t>
  </si>
  <si>
    <t>E05004165</t>
  </si>
  <si>
    <t>Lower Nazeing</t>
  </si>
  <si>
    <t>E05004166</t>
  </si>
  <si>
    <t>Lower Sheering</t>
  </si>
  <si>
    <t>E05004167</t>
  </si>
  <si>
    <t>Moreton and Fyfield</t>
  </si>
  <si>
    <t>E05008941</t>
  </si>
  <si>
    <t>North Weald Bassett</t>
  </si>
  <si>
    <t>E05004169</t>
  </si>
  <si>
    <t>Passingford</t>
  </si>
  <si>
    <t>E05004170</t>
  </si>
  <si>
    <t>Roydon</t>
  </si>
  <si>
    <t>E05004171</t>
  </si>
  <si>
    <t>Shelley</t>
  </si>
  <si>
    <t>E05004172</t>
  </si>
  <si>
    <t>Theydon Bois</t>
  </si>
  <si>
    <t>E05004173</t>
  </si>
  <si>
    <t>Waltham Abbey High Beach</t>
  </si>
  <si>
    <t>E05004174</t>
  </si>
  <si>
    <t>Waltham Abbey Honey Lane</t>
  </si>
  <si>
    <t>E05004175</t>
  </si>
  <si>
    <t>Waltham Abbey North East</t>
  </si>
  <si>
    <t>E05004176</t>
  </si>
  <si>
    <t>Waltham Abbey Paternoster</t>
  </si>
  <si>
    <t>E05004177</t>
  </si>
  <si>
    <t>Waltham Abbey South West</t>
  </si>
  <si>
    <t>E05004178</t>
  </si>
  <si>
    <t>Harlow CC (pt)</t>
  </si>
  <si>
    <t>* as created by The District of Epping Forest (Electoral Changes) Order 2001 and</t>
  </si>
  <si>
    <t xml:space="preserve">   as altered by The Epping Forest (Electoral Changes) Order 2011</t>
  </si>
  <si>
    <t>HARLOW DISTRICT  *</t>
  </si>
  <si>
    <t>Bush Fair</t>
  </si>
  <si>
    <t>E05004179</t>
  </si>
  <si>
    <t>Church Langley</t>
  </si>
  <si>
    <t>E05004180</t>
  </si>
  <si>
    <t>Great Parndon</t>
  </si>
  <si>
    <t>E05004181</t>
  </si>
  <si>
    <t>Harlow Common</t>
  </si>
  <si>
    <t>E05004182</t>
  </si>
  <si>
    <t>Little Parndon and Hare Street</t>
  </si>
  <si>
    <t>E05004183</t>
  </si>
  <si>
    <t>Mark Hall</t>
  </si>
  <si>
    <t>E05004184</t>
  </si>
  <si>
    <t>Netteswell</t>
  </si>
  <si>
    <t>E05004185</t>
  </si>
  <si>
    <t>Old Harlow</t>
  </si>
  <si>
    <t>E05004186</t>
  </si>
  <si>
    <t>Staple Tye</t>
  </si>
  <si>
    <t>E05004187</t>
  </si>
  <si>
    <t>Sumners and Kingsmoor</t>
  </si>
  <si>
    <t>E05004188</t>
  </si>
  <si>
    <t>Toddbrook</t>
  </si>
  <si>
    <t>E05004189</t>
  </si>
  <si>
    <t>* as created by The District of Harlow (Electoral Changes) Order 2001</t>
  </si>
  <si>
    <t>MALDON DISTRICT  *</t>
  </si>
  <si>
    <t>Althorne</t>
  </si>
  <si>
    <t>E05004190</t>
  </si>
  <si>
    <t>Burnham-on-Crouch North</t>
  </si>
  <si>
    <t>E05004191</t>
  </si>
  <si>
    <t>Burnham-on-Crouch South</t>
  </si>
  <si>
    <t>E05004192</t>
  </si>
  <si>
    <t>Great Totham</t>
  </si>
  <si>
    <t>E05004193</t>
  </si>
  <si>
    <t>Heybridge East</t>
  </si>
  <si>
    <t>E05004194</t>
  </si>
  <si>
    <t>Heybridge West</t>
  </si>
  <si>
    <t>E05004195</t>
  </si>
  <si>
    <t>Maldon East</t>
  </si>
  <si>
    <t>E05004196</t>
  </si>
  <si>
    <t>Maldon North</t>
  </si>
  <si>
    <t>E05004197</t>
  </si>
  <si>
    <t>Maldon South</t>
  </si>
  <si>
    <t>E05004198</t>
  </si>
  <si>
    <t>Maldon West</t>
  </si>
  <si>
    <t>E05004199</t>
  </si>
  <si>
    <t>Mayland</t>
  </si>
  <si>
    <t>E05004200</t>
  </si>
  <si>
    <t>Purleigh</t>
  </si>
  <si>
    <t>E05004201</t>
  </si>
  <si>
    <t>Southminster</t>
  </si>
  <si>
    <t>E05004202</t>
  </si>
  <si>
    <t>Tillingham</t>
  </si>
  <si>
    <t>E05004203</t>
  </si>
  <si>
    <t>Tollesbury</t>
  </si>
  <si>
    <t>E05004204</t>
  </si>
  <si>
    <t>Tolleshunt D'Arcy</t>
  </si>
  <si>
    <t>E05004205</t>
  </si>
  <si>
    <t>Wickham Bishops and Woodham</t>
  </si>
  <si>
    <t>E05004206</t>
  </si>
  <si>
    <t>Rayleigh Woodham Ferrers CC (pt)</t>
  </si>
  <si>
    <t>* as created by The District of Maldon (Electoral Changes) Order 2001</t>
  </si>
  <si>
    <t>ROCHFORD DISTRICT  *</t>
  </si>
  <si>
    <t>Ashingdon and Canewdon</t>
  </si>
  <si>
    <t>E05004207</t>
  </si>
  <si>
    <t>Barling and Sutton</t>
  </si>
  <si>
    <t>E05004208</t>
  </si>
  <si>
    <t>Downhall and Rawreth</t>
  </si>
  <si>
    <t>E05004209</t>
  </si>
  <si>
    <t>Foulness and Great Wakering</t>
  </si>
  <si>
    <t>E05004210</t>
  </si>
  <si>
    <t>E05004211</t>
  </si>
  <si>
    <t>Hawkwell North</t>
  </si>
  <si>
    <t>E05004212</t>
  </si>
  <si>
    <t>Hawkwell South</t>
  </si>
  <si>
    <t>E05004213</t>
  </si>
  <si>
    <t>Hawkwell West</t>
  </si>
  <si>
    <t>E05004214</t>
  </si>
  <si>
    <t>Hockley Central</t>
  </si>
  <si>
    <t>E05004215</t>
  </si>
  <si>
    <t>Hockley North</t>
  </si>
  <si>
    <t>E05004216</t>
  </si>
  <si>
    <t>Hockley West</t>
  </si>
  <si>
    <t>E05004217</t>
  </si>
  <si>
    <t>Hullbridge</t>
  </si>
  <si>
    <t>E05004218</t>
  </si>
  <si>
    <t>Lodge</t>
  </si>
  <si>
    <t>E05004219</t>
  </si>
  <si>
    <t>Rayleigh Central</t>
  </si>
  <si>
    <t>E05004220</t>
  </si>
  <si>
    <t>E05004221</t>
  </si>
  <si>
    <t>Sweyne Park</t>
  </si>
  <si>
    <t>E05004222</t>
  </si>
  <si>
    <t>E05004223</t>
  </si>
  <si>
    <t>Wheatley</t>
  </si>
  <si>
    <t>E05004224</t>
  </si>
  <si>
    <t>Whitehouse</t>
  </si>
  <si>
    <t>E05004225</t>
  </si>
  <si>
    <t>Rayleigh and Wickford CC (pt)</t>
  </si>
  <si>
    <t>* as created by The District of Rochford (Electoral Changes) Order 2001</t>
  </si>
  <si>
    <t>TENDRING DISTRICT  *</t>
  </si>
  <si>
    <t>Alresford</t>
  </si>
  <si>
    <t>E05004226</t>
  </si>
  <si>
    <t>Alton Park</t>
  </si>
  <si>
    <t>E05004227</t>
  </si>
  <si>
    <t>Ardleigh and Little Bromley</t>
  </si>
  <si>
    <t>E05004228</t>
  </si>
  <si>
    <t>Beaumont and Thorpe</t>
  </si>
  <si>
    <t>E05004229</t>
  </si>
  <si>
    <t>Bockings Elm</t>
  </si>
  <si>
    <t>E05004230</t>
  </si>
  <si>
    <t>Bradfield, Wrabness and Wix</t>
  </si>
  <si>
    <t>E05004231</t>
  </si>
  <si>
    <t>Brightlingsea</t>
  </si>
  <si>
    <t>E05004232</t>
  </si>
  <si>
    <t>Burrsville</t>
  </si>
  <si>
    <t>E05004233</t>
  </si>
  <si>
    <t>Frinton</t>
  </si>
  <si>
    <t>E05004234</t>
  </si>
  <si>
    <t>Golf Green</t>
  </si>
  <si>
    <t>E05004235</t>
  </si>
  <si>
    <t>Great and Little Oakley</t>
  </si>
  <si>
    <t>E05004236</t>
  </si>
  <si>
    <t>Great Bentley</t>
  </si>
  <si>
    <t>E05004237</t>
  </si>
  <si>
    <t>Hamford</t>
  </si>
  <si>
    <t>E05004238</t>
  </si>
  <si>
    <t>Harwich East</t>
  </si>
  <si>
    <t>E05004239</t>
  </si>
  <si>
    <t>Harwich East Central</t>
  </si>
  <si>
    <t>E05004240</t>
  </si>
  <si>
    <t>Harwich West</t>
  </si>
  <si>
    <t>E05004241</t>
  </si>
  <si>
    <t>Harwich West Central</t>
  </si>
  <si>
    <t>E05004242</t>
  </si>
  <si>
    <t>Haven</t>
  </si>
  <si>
    <t>E05004243</t>
  </si>
  <si>
    <t>Holland and Kirby</t>
  </si>
  <si>
    <t>E05004244</t>
  </si>
  <si>
    <t>Homelands</t>
  </si>
  <si>
    <t>E05004245</t>
  </si>
  <si>
    <t>Lawford</t>
  </si>
  <si>
    <t>E05004246</t>
  </si>
  <si>
    <t>Little Clacton and Weeley</t>
  </si>
  <si>
    <t>E05004247</t>
  </si>
  <si>
    <t>Manningtree, Mistley, Little Bentley and Tendring</t>
  </si>
  <si>
    <t>E05004248</t>
  </si>
  <si>
    <t>Peter Bruff</t>
  </si>
  <si>
    <t>E05004249</t>
  </si>
  <si>
    <t>Pier</t>
  </si>
  <si>
    <t>E05004250</t>
  </si>
  <si>
    <t>Ramsey and Parkeston</t>
  </si>
  <si>
    <t>E05004251</t>
  </si>
  <si>
    <t>Rush Green</t>
  </si>
  <si>
    <t>E05004252</t>
  </si>
  <si>
    <t>St Bartholomews</t>
  </si>
  <si>
    <t>E05004253</t>
  </si>
  <si>
    <t>E05004254</t>
  </si>
  <si>
    <t>St Johns</t>
  </si>
  <si>
    <t>E05004255</t>
  </si>
  <si>
    <t>St Marys</t>
  </si>
  <si>
    <t>E05004256</t>
  </si>
  <si>
    <t>St Osyth and Point Clear</t>
  </si>
  <si>
    <t>E05004257</t>
  </si>
  <si>
    <t>E05004258</t>
  </si>
  <si>
    <t>Thorrington, Frating, Elmstead and Great Bromley</t>
  </si>
  <si>
    <t>E05004259</t>
  </si>
  <si>
    <t>E05004260</t>
  </si>
  <si>
    <t>* as created by The District of Tendring (Electoral Changes) Order 2001</t>
  </si>
  <si>
    <t>UTTLESFORD DISTRICT  *</t>
  </si>
  <si>
    <t>Ashdon</t>
  </si>
  <si>
    <t>E05009910</t>
  </si>
  <si>
    <t>Broad Oak &amp; the Hallingburys</t>
  </si>
  <si>
    <t>E05009911</t>
  </si>
  <si>
    <t>Clavering</t>
  </si>
  <si>
    <t>E05009912</t>
  </si>
  <si>
    <t>Debden &amp; Wimbush</t>
  </si>
  <si>
    <t>E05009913</t>
  </si>
  <si>
    <t>Elsenham &amp; Henham</t>
  </si>
  <si>
    <t>E05009914</t>
  </si>
  <si>
    <t>Felsted &amp; Stebbing</t>
  </si>
  <si>
    <t>E05009915</t>
  </si>
  <si>
    <t>Flitch Green &amp; Little Dunmow</t>
  </si>
  <si>
    <t>E05009916</t>
  </si>
  <si>
    <t>Great Dunmow North</t>
  </si>
  <si>
    <t>E05009917</t>
  </si>
  <si>
    <t>Great Dunmow South &amp; Barnston</t>
  </si>
  <si>
    <t>E05009918</t>
  </si>
  <si>
    <t>Hatfield Heath</t>
  </si>
  <si>
    <t>E05009919</t>
  </si>
  <si>
    <t>High Easter &amp; the Rodings</t>
  </si>
  <si>
    <t>E05009920</t>
  </si>
  <si>
    <t>Littlebury, Chesterford &amp; Wenden Lofts</t>
  </si>
  <si>
    <t>E05009921</t>
  </si>
  <si>
    <t>E05009922</t>
  </si>
  <si>
    <t>Saffron Walden Audley</t>
  </si>
  <si>
    <t>E05009923</t>
  </si>
  <si>
    <t>Saffron Walden Castle</t>
  </si>
  <si>
    <t>E05009924</t>
  </si>
  <si>
    <t>Saffron Walden Shire</t>
  </si>
  <si>
    <t>E05009925</t>
  </si>
  <si>
    <t>Stansted North</t>
  </si>
  <si>
    <t>E05009926</t>
  </si>
  <si>
    <t>Stansted South &amp; Birchanger</t>
  </si>
  <si>
    <t>E05009927</t>
  </si>
  <si>
    <t>Stort Valley</t>
  </si>
  <si>
    <t>E05009928</t>
  </si>
  <si>
    <t>Takeley</t>
  </si>
  <si>
    <t>E05009929</t>
  </si>
  <si>
    <t>Thaxted &amp; the Eastons</t>
  </si>
  <si>
    <t>E05009930</t>
  </si>
  <si>
    <t>The Sampfords</t>
  </si>
  <si>
    <t>E05009931</t>
  </si>
  <si>
    <t>* as created by The Uttlesford (Electoral Changes) Order 2014</t>
  </si>
  <si>
    <t>BROXBOURNE BOROUGH</t>
  </si>
  <si>
    <t>DACORUM BOROUGH</t>
  </si>
  <si>
    <t>EAST HERTFORDSHIRE DISTRICT</t>
  </si>
  <si>
    <t>HERTSMERE BOROUGH</t>
  </si>
  <si>
    <t>NORTH HERTFORDSHIRE DISTRICT</t>
  </si>
  <si>
    <t>CITY OF ST ALBANS</t>
  </si>
  <si>
    <t>STEVENAGE BOROUGH</t>
  </si>
  <si>
    <t>THREE RIVERS DISTRICT</t>
  </si>
  <si>
    <t>WATFORD BOROUGH</t>
  </si>
  <si>
    <t>WELWYN HATFIELD BOROUGH</t>
  </si>
  <si>
    <t>Broxbourne BC</t>
  </si>
  <si>
    <t>Welwyn Hatfield (pt)</t>
  </si>
  <si>
    <t>Hemel Hempstead CC</t>
  </si>
  <si>
    <t>Dacorum (pt)</t>
  </si>
  <si>
    <t>Three Rivers (pt)</t>
  </si>
  <si>
    <t>Hertford and Stortford CC</t>
  </si>
  <si>
    <t>Hertsmere CC</t>
  </si>
  <si>
    <t>Hitchin and Harpenden CC</t>
  </si>
  <si>
    <t>St Albans (pt)</t>
  </si>
  <si>
    <t>South West Hertfordshire CC</t>
  </si>
  <si>
    <t>St Albans CC</t>
  </si>
  <si>
    <t>Stevenage CC</t>
  </si>
  <si>
    <t>Watford BC</t>
  </si>
  <si>
    <t>Welwyn Hatfield CC</t>
  </si>
  <si>
    <t>BROXBOURNE BOROUGH  *</t>
  </si>
  <si>
    <t>Broxbourne and Hoddesdon South</t>
  </si>
  <si>
    <t>E05009002</t>
  </si>
  <si>
    <t>Cheshunt North</t>
  </si>
  <si>
    <t>E05009003</t>
  </si>
  <si>
    <t>Cheshunt South and Theobalds</t>
  </si>
  <si>
    <t>E05009004</t>
  </si>
  <si>
    <t>Flamstead End</t>
  </si>
  <si>
    <t>E05009005</t>
  </si>
  <si>
    <t>Goffs Oak</t>
  </si>
  <si>
    <t>E05009006</t>
  </si>
  <si>
    <t>Hoddesdon North</t>
  </si>
  <si>
    <t>E05009007</t>
  </si>
  <si>
    <t>Hoddesdon Town and Rye Park</t>
  </si>
  <si>
    <t>E05009008</t>
  </si>
  <si>
    <t>Rosedale and Bury Green</t>
  </si>
  <si>
    <t>E05009009</t>
  </si>
  <si>
    <t>Waltham Cross</t>
  </si>
  <si>
    <t>E05009010</t>
  </si>
  <si>
    <t>Wormley and Turnford</t>
  </si>
  <si>
    <t>E05009011</t>
  </si>
  <si>
    <t>Broxbourne BC (pt)</t>
  </si>
  <si>
    <t>* as created by The Broxbourne (Electoral Changes) Order 2012</t>
  </si>
  <si>
    <t>DACORUM BOROUGH  *</t>
  </si>
  <si>
    <t>Adeyfield East</t>
  </si>
  <si>
    <t>E05004691</t>
  </si>
  <si>
    <t>Adeyfield West</t>
  </si>
  <si>
    <t>E05004692</t>
  </si>
  <si>
    <t>Aldbury and Wigginton</t>
  </si>
  <si>
    <t>E05004693</t>
  </si>
  <si>
    <t>Apsley and Corner Hall</t>
  </si>
  <si>
    <t>E05004694</t>
  </si>
  <si>
    <t>Ashridge</t>
  </si>
  <si>
    <t>E05004695</t>
  </si>
  <si>
    <t>Bennetts End</t>
  </si>
  <si>
    <t>E05004696</t>
  </si>
  <si>
    <t>Berkhamsted Castle</t>
  </si>
  <si>
    <t>E05004697</t>
  </si>
  <si>
    <t>Berkhamsted East</t>
  </si>
  <si>
    <t>E05004698</t>
  </si>
  <si>
    <t>Berkhamsted West</t>
  </si>
  <si>
    <t>E05004699</t>
  </si>
  <si>
    <t>Bovingdon, Flaunden and Chipperfield</t>
  </si>
  <si>
    <t>E05004700</t>
  </si>
  <si>
    <t>Boxmoor</t>
  </si>
  <si>
    <t>E05004701</t>
  </si>
  <si>
    <t>Chaulden and Warners End</t>
  </si>
  <si>
    <t>E05004702</t>
  </si>
  <si>
    <t>Gadebridge</t>
  </si>
  <si>
    <t>E05004703</t>
  </si>
  <si>
    <t>Grovehill</t>
  </si>
  <si>
    <t>E05004704</t>
  </si>
  <si>
    <t>Hemel Hempstead Town</t>
  </si>
  <si>
    <t>E05004705</t>
  </si>
  <si>
    <t>E05004706</t>
  </si>
  <si>
    <t>Kings Langley</t>
  </si>
  <si>
    <t>E05004707</t>
  </si>
  <si>
    <t>Leverstock Green</t>
  </si>
  <si>
    <t>E05004708</t>
  </si>
  <si>
    <t>Nash Mills</t>
  </si>
  <si>
    <t>E05004709</t>
  </si>
  <si>
    <t>Northchurch</t>
  </si>
  <si>
    <t>E05004710</t>
  </si>
  <si>
    <t>Tring Central</t>
  </si>
  <si>
    <t>E05004711</t>
  </si>
  <si>
    <t>Tring East</t>
  </si>
  <si>
    <t>E05004712</t>
  </si>
  <si>
    <t>Tring West and Rural</t>
  </si>
  <si>
    <t>E05004713</t>
  </si>
  <si>
    <t>Watling</t>
  </si>
  <si>
    <t>E05004714</t>
  </si>
  <si>
    <t>Woodhall Farm</t>
  </si>
  <si>
    <t>E05004715</t>
  </si>
  <si>
    <t>Hemel Hempstead CC (pt)</t>
  </si>
  <si>
    <t>South West Hertfordshire CC (pt)</t>
  </si>
  <si>
    <t>* as created by The Borough of Dacorum (Electoral Changes) Order 2007</t>
  </si>
  <si>
    <t>EAST HERTFORDSHIRE DISTRICT  *</t>
  </si>
  <si>
    <t>Bishop's Stortford All Saints</t>
  </si>
  <si>
    <t>E05004716</t>
  </si>
  <si>
    <t>Bishop's Stortford Central</t>
  </si>
  <si>
    <t>E05004717</t>
  </si>
  <si>
    <t>Bishop's Stortford Meads</t>
  </si>
  <si>
    <t>E05004718</t>
  </si>
  <si>
    <t>Bishop's Stortford Silverleys</t>
  </si>
  <si>
    <t>E05004719</t>
  </si>
  <si>
    <t>Bishop's Stortford South</t>
  </si>
  <si>
    <t>E05004720</t>
  </si>
  <si>
    <t>Braughing</t>
  </si>
  <si>
    <t>E05004721</t>
  </si>
  <si>
    <t>Buntingford</t>
  </si>
  <si>
    <t>E05004722</t>
  </si>
  <si>
    <t>Datchworth &amp; Aston</t>
  </si>
  <si>
    <t>E05004723</t>
  </si>
  <si>
    <t>Great Amwell</t>
  </si>
  <si>
    <t>E05004724</t>
  </si>
  <si>
    <t>Hertford Bengeo</t>
  </si>
  <si>
    <t>E05004725</t>
  </si>
  <si>
    <t>Hertford Castle</t>
  </si>
  <si>
    <t>E05004726</t>
  </si>
  <si>
    <t>Hertford Heath</t>
  </si>
  <si>
    <t>E05004727</t>
  </si>
  <si>
    <t>Hertford Kingsmead</t>
  </si>
  <si>
    <t>E05004728</t>
  </si>
  <si>
    <t>Hertford Rural North</t>
  </si>
  <si>
    <t>E05004729</t>
  </si>
  <si>
    <t>Hertford Rural South</t>
  </si>
  <si>
    <t>E05004730</t>
  </si>
  <si>
    <t>Hertford Sele</t>
  </si>
  <si>
    <t>E05004731</t>
  </si>
  <si>
    <t>Hunsdon</t>
  </si>
  <si>
    <t>E05004732</t>
  </si>
  <si>
    <t>Little Hadham</t>
  </si>
  <si>
    <t>E05004733</t>
  </si>
  <si>
    <t>Mundens and Cottered</t>
  </si>
  <si>
    <t>E05004734</t>
  </si>
  <si>
    <t>Much Hadham</t>
  </si>
  <si>
    <t>E05004735</t>
  </si>
  <si>
    <t>Puckeridge</t>
  </si>
  <si>
    <t>E05004736</t>
  </si>
  <si>
    <t>Sawbridgeworth</t>
  </si>
  <si>
    <t>E05004737</t>
  </si>
  <si>
    <t>Stanstead Abbots</t>
  </si>
  <si>
    <t>E05004738</t>
  </si>
  <si>
    <t>Thundridge &amp; Standon</t>
  </si>
  <si>
    <t>E05004739</t>
  </si>
  <si>
    <t>Walkern</t>
  </si>
  <si>
    <t>E05009315</t>
  </si>
  <si>
    <t>Ware Chadwell</t>
  </si>
  <si>
    <t>E05004741</t>
  </si>
  <si>
    <t>Ware Christchurch</t>
  </si>
  <si>
    <t>E05004742</t>
  </si>
  <si>
    <t>Ware St Mary's</t>
  </si>
  <si>
    <t>E05004743</t>
  </si>
  <si>
    <t>Ware Trinity</t>
  </si>
  <si>
    <t>E05004744</t>
  </si>
  <si>
    <t>Watton-at-Stone</t>
  </si>
  <si>
    <t>E05004745</t>
  </si>
  <si>
    <t>Stevenage CC (pt)</t>
  </si>
  <si>
    <t>Welwyn Hatfield CC (pt)</t>
  </si>
  <si>
    <t>* as created by The District of East Hertfordshire (Electoral Changes) Order 1998 and</t>
  </si>
  <si>
    <t xml:space="preserve">   as altered by The East Hertfordshire and Stevenage (Boundary Change) Order 2013</t>
  </si>
  <si>
    <t>HERTSMERE BOROUGH  *</t>
  </si>
  <si>
    <t>Aldenham East</t>
  </si>
  <si>
    <t>E05004746</t>
  </si>
  <si>
    <t>Aldenham West</t>
  </si>
  <si>
    <t>E05004747</t>
  </si>
  <si>
    <t>Borehamwood Brookmeadow</t>
  </si>
  <si>
    <t>E05004748</t>
  </si>
  <si>
    <t>Borehamwood Cowley Hill</t>
  </si>
  <si>
    <t>E05004749</t>
  </si>
  <si>
    <t>Borehamwood Hillside</t>
  </si>
  <si>
    <t>E05004750</t>
  </si>
  <si>
    <t>Borehamwood Kenilworth</t>
  </si>
  <si>
    <t>E05004751</t>
  </si>
  <si>
    <t>Bushey Heath</t>
  </si>
  <si>
    <t>E05004752</t>
  </si>
  <si>
    <t>Bushey North</t>
  </si>
  <si>
    <t>E05004753</t>
  </si>
  <si>
    <t>Bushey Park</t>
  </si>
  <si>
    <t>E05004754</t>
  </si>
  <si>
    <t>Bushey St James</t>
  </si>
  <si>
    <t>E05004755</t>
  </si>
  <si>
    <t>Elstree</t>
  </si>
  <si>
    <t>E05004756</t>
  </si>
  <si>
    <t>Potters Bar Furzefield</t>
  </si>
  <si>
    <t>E05004757</t>
  </si>
  <si>
    <t>Potters Bar Oakmere</t>
  </si>
  <si>
    <t>E05004758</t>
  </si>
  <si>
    <t>Potters Bar Parkfield</t>
  </si>
  <si>
    <t>E05004759</t>
  </si>
  <si>
    <t>Shenley</t>
  </si>
  <si>
    <t>E05004760</t>
  </si>
  <si>
    <t>* as created by The Borough of Hertsmere (Electoral Changes) Order 1998</t>
  </si>
  <si>
    <t>NORTH HERTFORDSHIRE DISTRICT  *</t>
  </si>
  <si>
    <t>E05004761</t>
  </si>
  <si>
    <t>Baldock East</t>
  </si>
  <si>
    <t>E05004762</t>
  </si>
  <si>
    <t>Baldock Town</t>
  </si>
  <si>
    <t>E05004763</t>
  </si>
  <si>
    <t>Cadwell</t>
  </si>
  <si>
    <t>E05004764</t>
  </si>
  <si>
    <t>Chesfield</t>
  </si>
  <si>
    <t>E05004765</t>
  </si>
  <si>
    <t>Codicote</t>
  </si>
  <si>
    <t>E05004766</t>
  </si>
  <si>
    <t>Ermine</t>
  </si>
  <si>
    <t>E05004767</t>
  </si>
  <si>
    <t>Hitchin Bearton</t>
  </si>
  <si>
    <t>E05004768</t>
  </si>
  <si>
    <t>Hitchin Highbury</t>
  </si>
  <si>
    <t>E05004769</t>
  </si>
  <si>
    <t>Hitchin Oughton</t>
  </si>
  <si>
    <t>E05004770</t>
  </si>
  <si>
    <t>Hitchin Priory</t>
  </si>
  <si>
    <t>E05004771</t>
  </si>
  <si>
    <t>Hitchin Walsworth</t>
  </si>
  <si>
    <t>E05004772</t>
  </si>
  <si>
    <t>Hitchwood, Offa and Hoo</t>
  </si>
  <si>
    <t>E05004773</t>
  </si>
  <si>
    <t>Kimpton</t>
  </si>
  <si>
    <t>E05004774</t>
  </si>
  <si>
    <t>Knebworth</t>
  </si>
  <si>
    <t>E05004775</t>
  </si>
  <si>
    <t>Letchworth East</t>
  </si>
  <si>
    <t>E05004776</t>
  </si>
  <si>
    <t>Letchworth Grange</t>
  </si>
  <si>
    <t>E05004777</t>
  </si>
  <si>
    <t>Letchworth South East</t>
  </si>
  <si>
    <t>E05004778</t>
  </si>
  <si>
    <t>Letchworth South West</t>
  </si>
  <si>
    <t>E05004779</t>
  </si>
  <si>
    <t>Letchworth Wilbury</t>
  </si>
  <si>
    <t>E05004780</t>
  </si>
  <si>
    <t>Royston Heath</t>
  </si>
  <si>
    <t>E05004781</t>
  </si>
  <si>
    <t>Royston Meridian</t>
  </si>
  <si>
    <t>E05004782</t>
  </si>
  <si>
    <t>Royston Palace</t>
  </si>
  <si>
    <t>E05004783</t>
  </si>
  <si>
    <t>Weston and Sandon</t>
  </si>
  <si>
    <t>E05004784</t>
  </si>
  <si>
    <t>Hitchin and Harpenden CC (pt)</t>
  </si>
  <si>
    <t>* as created by The District of North Hertfordshire (Electoral Changes) Order 2006</t>
  </si>
  <si>
    <t>CITY OF ST ALBANS  *</t>
  </si>
  <si>
    <t>E05004785</t>
  </si>
  <si>
    <t>Batchwood</t>
  </si>
  <si>
    <t>E05004786</t>
  </si>
  <si>
    <t>Clarence</t>
  </si>
  <si>
    <t>E05004787</t>
  </si>
  <si>
    <t>Colney Heath</t>
  </si>
  <si>
    <t>E05009028</t>
  </si>
  <si>
    <t>Cunningham</t>
  </si>
  <si>
    <t>E05004789</t>
  </si>
  <si>
    <t>Harpenden East</t>
  </si>
  <si>
    <t>E05004790</t>
  </si>
  <si>
    <t>Harpenden North</t>
  </si>
  <si>
    <t>E05004791</t>
  </si>
  <si>
    <t>Harpenden South</t>
  </si>
  <si>
    <t>E05004792</t>
  </si>
  <si>
    <t>Harpenden West</t>
  </si>
  <si>
    <t>E05004793</t>
  </si>
  <si>
    <t>London Colney</t>
  </si>
  <si>
    <t>E05004794</t>
  </si>
  <si>
    <t>Marshalswick North</t>
  </si>
  <si>
    <t>E05004795</t>
  </si>
  <si>
    <t>Marshalswick South</t>
  </si>
  <si>
    <t>E05004796</t>
  </si>
  <si>
    <t>Park Street</t>
  </si>
  <si>
    <t>E05004797</t>
  </si>
  <si>
    <t>Redbourn</t>
  </si>
  <si>
    <t>E05004798</t>
  </si>
  <si>
    <t>St Peters</t>
  </si>
  <si>
    <t>E05004799</t>
  </si>
  <si>
    <t>E05004800</t>
  </si>
  <si>
    <t>Sandridge</t>
  </si>
  <si>
    <t>E05004801</t>
  </si>
  <si>
    <t>Sopwell</t>
  </si>
  <si>
    <t>E05004802</t>
  </si>
  <si>
    <t>Verulam</t>
  </si>
  <si>
    <t>E05004803</t>
  </si>
  <si>
    <t>Wheathampstead</t>
  </si>
  <si>
    <t>E05004804</t>
  </si>
  <si>
    <t>St Albans CC (pt)</t>
  </si>
  <si>
    <t>* as created by The City of St Albans (Electoral Changes) Order 1998 and</t>
  </si>
  <si>
    <t xml:space="preserve">   as altered by The St Albans (Parish Electoral Arrangements and Electoral Changes) Order 2007 and</t>
  </si>
  <si>
    <t xml:space="preserve">   The St Albans and Welwyn Hatfield (Boundary Change) Order 2012</t>
  </si>
  <si>
    <t>STEVENAGE BOROUGH  *</t>
  </si>
  <si>
    <t>Bandley Hill</t>
  </si>
  <si>
    <t>E05004805</t>
  </si>
  <si>
    <t>Bedwell</t>
  </si>
  <si>
    <t>E05004806</t>
  </si>
  <si>
    <t>Chells</t>
  </si>
  <si>
    <t>E05004807</t>
  </si>
  <si>
    <t>Longmeadow</t>
  </si>
  <si>
    <t>E05004808</t>
  </si>
  <si>
    <t>E05009316</t>
  </si>
  <si>
    <t>Martins Wood</t>
  </si>
  <si>
    <t>E05004810</t>
  </si>
  <si>
    <t>E05004811</t>
  </si>
  <si>
    <t>Pin Green</t>
  </si>
  <si>
    <t>E05004812</t>
  </si>
  <si>
    <t>Roebuck</t>
  </si>
  <si>
    <t>E05004813</t>
  </si>
  <si>
    <t>St Nicholas</t>
  </si>
  <si>
    <t>E05004814</t>
  </si>
  <si>
    <t>Shephall</t>
  </si>
  <si>
    <t>E05004815</t>
  </si>
  <si>
    <t>Symonds Green</t>
  </si>
  <si>
    <t>E05004816</t>
  </si>
  <si>
    <t>Woodfield</t>
  </si>
  <si>
    <t>E05004817</t>
  </si>
  <si>
    <t>* as created by The Borough of Stevenage (Electoral Changes) Order 1998 and</t>
  </si>
  <si>
    <t>THREE RIVERS DISTRICT  *</t>
  </si>
  <si>
    <t>Abbots Langley &amp; Bedmond</t>
  </si>
  <si>
    <t>E05009425</t>
  </si>
  <si>
    <t>Carpenders Park</t>
  </si>
  <si>
    <t>E05009426</t>
  </si>
  <si>
    <t>Chorleywood North &amp; Sarratt</t>
  </si>
  <si>
    <t>E05009427</t>
  </si>
  <si>
    <t>Chorleywood South &amp; Maple Cross</t>
  </si>
  <si>
    <t>E05009428</t>
  </si>
  <si>
    <t>Dickinsons</t>
  </si>
  <si>
    <t>E05009429</t>
  </si>
  <si>
    <t>Durrants</t>
  </si>
  <si>
    <t>E05009430</t>
  </si>
  <si>
    <t>Gade Valley</t>
  </si>
  <si>
    <t>E05009431</t>
  </si>
  <si>
    <t>Leavesden</t>
  </si>
  <si>
    <t>E05009432</t>
  </si>
  <si>
    <t>Moor Park &amp; Eastbury</t>
  </si>
  <si>
    <t>E05009433</t>
  </si>
  <si>
    <t>Oxhey Hall &amp; Hayling</t>
  </si>
  <si>
    <t>E05009434</t>
  </si>
  <si>
    <t>Penn &amp; Mill End</t>
  </si>
  <si>
    <t>E05009435</t>
  </si>
  <si>
    <t>Rickmansworth Town</t>
  </si>
  <si>
    <t>E05009436</t>
  </si>
  <si>
    <t>South Oxhey</t>
  </si>
  <si>
    <t>E05009437</t>
  </si>
  <si>
    <t>Hertsmere CC (pt)</t>
  </si>
  <si>
    <t>Watford BC (pt)</t>
  </si>
  <si>
    <t>* as created by The Three Rivers (Electoral Changes) Order 2014</t>
  </si>
  <si>
    <t>WATFORD BOROUGH  *</t>
  </si>
  <si>
    <t>Callowland</t>
  </si>
  <si>
    <t>E05004838</t>
  </si>
  <si>
    <t>E05004839</t>
  </si>
  <si>
    <t>E05004840</t>
  </si>
  <si>
    <t>Leggatts</t>
  </si>
  <si>
    <t>E05004841</t>
  </si>
  <si>
    <t>E05004842</t>
  </si>
  <si>
    <t>Nascot</t>
  </si>
  <si>
    <t>E05004843</t>
  </si>
  <si>
    <t>Oxhey</t>
  </si>
  <si>
    <t>E05004844</t>
  </si>
  <si>
    <t>E05004845</t>
  </si>
  <si>
    <t>Stanborough</t>
  </si>
  <si>
    <t>E05004846</t>
  </si>
  <si>
    <t>Tudor</t>
  </si>
  <si>
    <t>E05004847</t>
  </si>
  <si>
    <t>Vicarage</t>
  </si>
  <si>
    <t>E05004848</t>
  </si>
  <si>
    <t>E05004849</t>
  </si>
  <si>
    <t>* as created by The Borough of Watford (Electoral Changes) Order 1998</t>
  </si>
  <si>
    <t>WELWYN HATFIELD BOROUGH  *</t>
  </si>
  <si>
    <t>Brookmans Park and Little Heath</t>
  </si>
  <si>
    <t>E05004850</t>
  </si>
  <si>
    <t>Haldens</t>
  </si>
  <si>
    <t>E05004851</t>
  </si>
  <si>
    <t>Handside</t>
  </si>
  <si>
    <t>E05004852</t>
  </si>
  <si>
    <t>Hatfield Central</t>
  </si>
  <si>
    <t>E05004853</t>
  </si>
  <si>
    <t>Hatfield East</t>
  </si>
  <si>
    <t>E05004854</t>
  </si>
  <si>
    <t>Hatfield South</t>
  </si>
  <si>
    <t>E05004855</t>
  </si>
  <si>
    <t>Hatfield Villages</t>
  </si>
  <si>
    <t>E05004856</t>
  </si>
  <si>
    <t>Hatfield West</t>
  </si>
  <si>
    <t>E05004857</t>
  </si>
  <si>
    <t>Hollybush</t>
  </si>
  <si>
    <t>E05004858</t>
  </si>
  <si>
    <t>Howlands</t>
  </si>
  <si>
    <t>E05004859</t>
  </si>
  <si>
    <t>Northaw and Cuffley</t>
  </si>
  <si>
    <t>E05004860</t>
  </si>
  <si>
    <t>Panshanger</t>
  </si>
  <si>
    <t>E05004861</t>
  </si>
  <si>
    <t>Peartree</t>
  </si>
  <si>
    <t>E05004862</t>
  </si>
  <si>
    <t>Sherrards</t>
  </si>
  <si>
    <t>E05004863</t>
  </si>
  <si>
    <t>Welham Green</t>
  </si>
  <si>
    <t>E05009029</t>
  </si>
  <si>
    <t>Welwyn East</t>
  </si>
  <si>
    <t>E05004865</t>
  </si>
  <si>
    <t>Welwyn West</t>
  </si>
  <si>
    <t>E05004866</t>
  </si>
  <si>
    <t>* as created by The Borough of Welwyn Hatfield (Electoral Changes) Order 2008</t>
  </si>
  <si>
    <t xml:space="preserve">   and as altered by The St Albans and Welwyn Hatfield (Boundary Change) Order 2012</t>
  </si>
  <si>
    <t>BRECKLAND DISTRICT</t>
  </si>
  <si>
    <t>BROADLAND DISTRICT</t>
  </si>
  <si>
    <t>GREAT YARMOUTH BOROUGH</t>
  </si>
  <si>
    <t>KING'S LYNN AND WEST NORFOLK BOROUGH</t>
  </si>
  <si>
    <t>NORTH NORFOLK DISTRICT</t>
  </si>
  <si>
    <t>CITY OF NORWICH</t>
  </si>
  <si>
    <t>SOUTH NORFOLK DISTRICT</t>
  </si>
  <si>
    <t>Broadland CC</t>
  </si>
  <si>
    <t>Broadland (pt)</t>
  </si>
  <si>
    <t>North Norfolk (pt)</t>
  </si>
  <si>
    <t>Great Yarmouth CC</t>
  </si>
  <si>
    <t>South Norfolk (pt)</t>
  </si>
  <si>
    <t>Mid Norfolk CC</t>
  </si>
  <si>
    <t>North Norfolk CC</t>
  </si>
  <si>
    <t>North West Norfolk CC</t>
  </si>
  <si>
    <t>Norwich North BC</t>
  </si>
  <si>
    <t>Norwich (pt)</t>
  </si>
  <si>
    <t>Norwich South BC</t>
  </si>
  <si>
    <t>South Norfolk CC</t>
  </si>
  <si>
    <t>BRECKLAND DISTRICT  *</t>
  </si>
  <si>
    <t>All Saints &amp; Wayland</t>
  </si>
  <si>
    <t>E05010237</t>
  </si>
  <si>
    <t>Ashill</t>
  </si>
  <si>
    <t>E05010238</t>
  </si>
  <si>
    <t>Attleborough Burgh &amp; Haverscroft</t>
  </si>
  <si>
    <t>E05010240</t>
  </si>
  <si>
    <t>Attleborough Queens &amp; Besthorpe</t>
  </si>
  <si>
    <t>E05010241</t>
  </si>
  <si>
    <t>Bedingfeld</t>
  </si>
  <si>
    <t>E05010239</t>
  </si>
  <si>
    <t>Dereham Neatherd</t>
  </si>
  <si>
    <t>E05010242</t>
  </si>
  <si>
    <t>Dereham Toftwood</t>
  </si>
  <si>
    <t>E05010243</t>
  </si>
  <si>
    <t>Dereham Withburga</t>
  </si>
  <si>
    <t>E05010244</t>
  </si>
  <si>
    <t>E05010245</t>
  </si>
  <si>
    <t>Guiltcross</t>
  </si>
  <si>
    <t>E05010246</t>
  </si>
  <si>
    <t>Harling &amp; Heathlands</t>
  </si>
  <si>
    <t>E05010247</t>
  </si>
  <si>
    <t>E05010248</t>
  </si>
  <si>
    <t>Launditch</t>
  </si>
  <si>
    <t>E05010249</t>
  </si>
  <si>
    <t>E05010250</t>
  </si>
  <si>
    <t>Mattishall</t>
  </si>
  <si>
    <t>E05010251</t>
  </si>
  <si>
    <t>Nar Valley</t>
  </si>
  <si>
    <t>E05010252</t>
  </si>
  <si>
    <t>Necton</t>
  </si>
  <si>
    <t>E05010253</t>
  </si>
  <si>
    <t>Saham Toney</t>
  </si>
  <si>
    <t>E05010254</t>
  </si>
  <si>
    <t>Shipdham-with-Scarning</t>
  </si>
  <si>
    <t>E05010255</t>
  </si>
  <si>
    <t>Swaffham</t>
  </si>
  <si>
    <t>E05010256</t>
  </si>
  <si>
    <t>The Buckenhams &amp; Banham</t>
  </si>
  <si>
    <t>E05010257</t>
  </si>
  <si>
    <t>Thetford Boudica</t>
  </si>
  <si>
    <t>E05010258</t>
  </si>
  <si>
    <t>Thetford Burrell</t>
  </si>
  <si>
    <t>E05010259</t>
  </si>
  <si>
    <t>Thetford Castle</t>
  </si>
  <si>
    <t>E05010260</t>
  </si>
  <si>
    <t>Thetford Priory</t>
  </si>
  <si>
    <t>E05010261</t>
  </si>
  <si>
    <t>Upper Wensum</t>
  </si>
  <si>
    <t>E05010262</t>
  </si>
  <si>
    <t>Watton</t>
  </si>
  <si>
    <t>E05010263</t>
  </si>
  <si>
    <t>Broadland CC (pt)</t>
  </si>
  <si>
    <t>Mid Norfolk CC (pt)</t>
  </si>
  <si>
    <t>* as created by The Breckland (Electoral Changes) Order 2014</t>
  </si>
  <si>
    <t>BROADLAND DISTRICT  *</t>
  </si>
  <si>
    <t>Acle</t>
  </si>
  <si>
    <t>E05005757</t>
  </si>
  <si>
    <t>Aylsham</t>
  </si>
  <si>
    <t>E05005758</t>
  </si>
  <si>
    <t>Blofield with South Walsham</t>
  </si>
  <si>
    <t>E05005759</t>
  </si>
  <si>
    <t>Brundall</t>
  </si>
  <si>
    <t>E05005760</t>
  </si>
  <si>
    <t>Burlingham</t>
  </si>
  <si>
    <t>E05005761</t>
  </si>
  <si>
    <t>Buxton</t>
  </si>
  <si>
    <t>E05005762</t>
  </si>
  <si>
    <t>Coltishall</t>
  </si>
  <si>
    <t>E05005763</t>
  </si>
  <si>
    <t>Drayton North</t>
  </si>
  <si>
    <t>E05005764</t>
  </si>
  <si>
    <t>Drayton South</t>
  </si>
  <si>
    <t>E05005765</t>
  </si>
  <si>
    <t>Eynesford</t>
  </si>
  <si>
    <t>E05005766</t>
  </si>
  <si>
    <t>Great Witchingham</t>
  </si>
  <si>
    <t>E05005767</t>
  </si>
  <si>
    <t>Hellesdon North West</t>
  </si>
  <si>
    <t>E05005768</t>
  </si>
  <si>
    <t>Hellesdon South East</t>
  </si>
  <si>
    <t>E05005769</t>
  </si>
  <si>
    <t>Hevingham</t>
  </si>
  <si>
    <t>E05005770</t>
  </si>
  <si>
    <t>Horsford and Felthorpe</t>
  </si>
  <si>
    <t>E05005771</t>
  </si>
  <si>
    <t>Marshes</t>
  </si>
  <si>
    <t>E05005772</t>
  </si>
  <si>
    <t>Old Catton and Sprowston West</t>
  </si>
  <si>
    <t>E05005773</t>
  </si>
  <si>
    <t>Plumstead</t>
  </si>
  <si>
    <t>E05005774</t>
  </si>
  <si>
    <t>Reepham</t>
  </si>
  <si>
    <t>E05005775</t>
  </si>
  <si>
    <t>Spixworth with St Faiths</t>
  </si>
  <si>
    <t>E05005776</t>
  </si>
  <si>
    <t>Sprowston Central</t>
  </si>
  <si>
    <t>E05005777</t>
  </si>
  <si>
    <t>Sprowston East</t>
  </si>
  <si>
    <t>E05005778</t>
  </si>
  <si>
    <t>Taverham North</t>
  </si>
  <si>
    <t>E05005779</t>
  </si>
  <si>
    <t>Taverham South</t>
  </si>
  <si>
    <t>E05005780</t>
  </si>
  <si>
    <t>Thorpe St Andrew North West</t>
  </si>
  <si>
    <t>E05005781</t>
  </si>
  <si>
    <t>Thorpe St Andrew South East</t>
  </si>
  <si>
    <t>E05005782</t>
  </si>
  <si>
    <t>Wroxham</t>
  </si>
  <si>
    <t>E05005783</t>
  </si>
  <si>
    <t>North Norfolk CC (pt)</t>
  </si>
  <si>
    <t>Norwich North BC (pt)</t>
  </si>
  <si>
    <t>* as created by The District of Broadland (Electoral Changes) Order 2003</t>
  </si>
  <si>
    <t>GREAT YARMOUTH BOROUGH  *</t>
  </si>
  <si>
    <t>Bradwell North</t>
  </si>
  <si>
    <t>E05005784</t>
  </si>
  <si>
    <t>Bradwell South and Hopton</t>
  </si>
  <si>
    <t>E05005785</t>
  </si>
  <si>
    <t>Caister North</t>
  </si>
  <si>
    <t>E05005786</t>
  </si>
  <si>
    <t>Caister South</t>
  </si>
  <si>
    <t>E05005787</t>
  </si>
  <si>
    <t>Central and Northgate</t>
  </si>
  <si>
    <t>E05005788</t>
  </si>
  <si>
    <t>Claydon</t>
  </si>
  <si>
    <t>E05005789</t>
  </si>
  <si>
    <t>East Flegg</t>
  </si>
  <si>
    <t>E05005790</t>
  </si>
  <si>
    <t>Fleggburgh</t>
  </si>
  <si>
    <t>E05005791</t>
  </si>
  <si>
    <t>Gorleston</t>
  </si>
  <si>
    <t>E05005792</t>
  </si>
  <si>
    <t>Lothingland</t>
  </si>
  <si>
    <t>E05005793</t>
  </si>
  <si>
    <t>Magdalen</t>
  </si>
  <si>
    <t>E05005794</t>
  </si>
  <si>
    <t>Nelson</t>
  </si>
  <si>
    <t>E05005795</t>
  </si>
  <si>
    <t>E05005796</t>
  </si>
  <si>
    <t>E05005797</t>
  </si>
  <si>
    <t>Southtown and Cobholm</t>
  </si>
  <si>
    <t>E05005798</t>
  </si>
  <si>
    <t>West Flegg</t>
  </si>
  <si>
    <t>E05005799</t>
  </si>
  <si>
    <t>Yarmouth North</t>
  </si>
  <si>
    <t>E05005800</t>
  </si>
  <si>
    <t>Great Yarmouth CC (pt)</t>
  </si>
  <si>
    <t>* as created by The Borough of Great Yarmouth (Electoral Changes) Order 2002</t>
  </si>
  <si>
    <t>KING'S LYNN AND WEST NORFOLK BOROUGH  *</t>
  </si>
  <si>
    <t>Airfield</t>
  </si>
  <si>
    <t>E05005801</t>
  </si>
  <si>
    <t>Brancaster</t>
  </si>
  <si>
    <t>E05005802</t>
  </si>
  <si>
    <t>Burnham</t>
  </si>
  <si>
    <t>E05005803</t>
  </si>
  <si>
    <t>Clenchwarton</t>
  </si>
  <si>
    <t>E05005804</t>
  </si>
  <si>
    <t>E05005805</t>
  </si>
  <si>
    <t>Dersingham</t>
  </si>
  <si>
    <t>E05005806</t>
  </si>
  <si>
    <t>Docking</t>
  </si>
  <si>
    <t>E05005807</t>
  </si>
  <si>
    <t>Downham Old Town</t>
  </si>
  <si>
    <t>E05005808</t>
  </si>
  <si>
    <t>East Downham</t>
  </si>
  <si>
    <t>E05005809</t>
  </si>
  <si>
    <t>Emneth with Outwell</t>
  </si>
  <si>
    <t>E05005810</t>
  </si>
  <si>
    <t>Fairstead</t>
  </si>
  <si>
    <t>E05005811</t>
  </si>
  <si>
    <t>Gayton</t>
  </si>
  <si>
    <t>E05005812</t>
  </si>
  <si>
    <t>Gaywood Chase</t>
  </si>
  <si>
    <t>E05005813</t>
  </si>
  <si>
    <t>Gaywood North Bank</t>
  </si>
  <si>
    <t>E05009656</t>
  </si>
  <si>
    <t>Grimston</t>
  </si>
  <si>
    <t>E05005815</t>
  </si>
  <si>
    <t>Heacham</t>
  </si>
  <si>
    <t>E05005816</t>
  </si>
  <si>
    <t>Hilgay with Denver</t>
  </si>
  <si>
    <t>E05005817</t>
  </si>
  <si>
    <t>Hunstanton</t>
  </si>
  <si>
    <t>E05005818</t>
  </si>
  <si>
    <t>Mershe Lande</t>
  </si>
  <si>
    <t>E05005819</t>
  </si>
  <si>
    <t>North Downham</t>
  </si>
  <si>
    <t>E05005820</t>
  </si>
  <si>
    <t>North Lynn</t>
  </si>
  <si>
    <t>E05005821</t>
  </si>
  <si>
    <t>North Wootton</t>
  </si>
  <si>
    <t>E05009657</t>
  </si>
  <si>
    <t>Old Gaywood</t>
  </si>
  <si>
    <t>E05005823</t>
  </si>
  <si>
    <t>E05005824</t>
  </si>
  <si>
    <t>Rudham</t>
  </si>
  <si>
    <t>E05005825</t>
  </si>
  <si>
    <t>St Lawrence</t>
  </si>
  <si>
    <t>E05005826</t>
  </si>
  <si>
    <t>St Margarets with St Nicholas</t>
  </si>
  <si>
    <t>E05005827</t>
  </si>
  <si>
    <t>Snettisham</t>
  </si>
  <si>
    <t>E05005828</t>
  </si>
  <si>
    <t>South and West Lynn</t>
  </si>
  <si>
    <t>E05005829</t>
  </si>
  <si>
    <t>South Downham</t>
  </si>
  <si>
    <t>E05005830</t>
  </si>
  <si>
    <t>South Wootton</t>
  </si>
  <si>
    <t>E05009658</t>
  </si>
  <si>
    <t>Spellowfields</t>
  </si>
  <si>
    <t>E05009659</t>
  </si>
  <si>
    <t>Springwood</t>
  </si>
  <si>
    <t>E05005833</t>
  </si>
  <si>
    <t>Upwell and Delph</t>
  </si>
  <si>
    <t>E05005834</t>
  </si>
  <si>
    <t>Valley Hill</t>
  </si>
  <si>
    <t>E05005835</t>
  </si>
  <si>
    <t>Walpole</t>
  </si>
  <si>
    <t>E05009660</t>
  </si>
  <si>
    <t>E05005837</t>
  </si>
  <si>
    <t>Watlington</t>
  </si>
  <si>
    <t>E05005838</t>
  </si>
  <si>
    <t>West Winch</t>
  </si>
  <si>
    <t>E05005839</t>
  </si>
  <si>
    <t>40.</t>
  </si>
  <si>
    <t>Wiggenhall</t>
  </si>
  <si>
    <t>E05005840</t>
  </si>
  <si>
    <t>Wimbotsham with Fincham</t>
  </si>
  <si>
    <t>E05005841</t>
  </si>
  <si>
    <t>Wissey</t>
  </si>
  <si>
    <t>E05005842</t>
  </si>
  <si>
    <t>* as created by The Borough of King's Lynn and West Norfolk (Electoral Changes) Order 2002 and</t>
  </si>
  <si>
    <t xml:space="preserve">   as altered by The King's Lynn  and West Norfolk (Electoral Changes) Order 2013</t>
  </si>
  <si>
    <t>NORTH NORFOLK DISTRICT  *</t>
  </si>
  <si>
    <t>Astley</t>
  </si>
  <si>
    <t>E05005843</t>
  </si>
  <si>
    <t>Briston</t>
  </si>
  <si>
    <t>E05005844</t>
  </si>
  <si>
    <t>Chaucer</t>
  </si>
  <si>
    <t>E05008556</t>
  </si>
  <si>
    <t>Corpusty</t>
  </si>
  <si>
    <t>E05005846</t>
  </si>
  <si>
    <t>Cromer Town</t>
  </si>
  <si>
    <t>E05005847</t>
  </si>
  <si>
    <t>Erpingham</t>
  </si>
  <si>
    <t>E05005848</t>
  </si>
  <si>
    <t>Gaunt</t>
  </si>
  <si>
    <t>E05005849</t>
  </si>
  <si>
    <t>Glaven Valley</t>
  </si>
  <si>
    <t>E05005850</t>
  </si>
  <si>
    <t>Happisburgh</t>
  </si>
  <si>
    <t>E05005851</t>
  </si>
  <si>
    <t>High Heath</t>
  </si>
  <si>
    <t>E05005852</t>
  </si>
  <si>
    <t>Holt</t>
  </si>
  <si>
    <t>E05005853</t>
  </si>
  <si>
    <t>Hoveton</t>
  </si>
  <si>
    <t>E05005854</t>
  </si>
  <si>
    <t>Lancaster North</t>
  </si>
  <si>
    <t>E05005855</t>
  </si>
  <si>
    <t>Lancaster South</t>
  </si>
  <si>
    <t>E05005856</t>
  </si>
  <si>
    <t>Mundesley</t>
  </si>
  <si>
    <t>E05005857</t>
  </si>
  <si>
    <t>North Walsham East</t>
  </si>
  <si>
    <t>E05005858</t>
  </si>
  <si>
    <t>North Walsham North</t>
  </si>
  <si>
    <t>E05005859</t>
  </si>
  <si>
    <t>North Walsham West</t>
  </si>
  <si>
    <t>E05005860</t>
  </si>
  <si>
    <t>Poppyland</t>
  </si>
  <si>
    <t>E05005861</t>
  </si>
  <si>
    <t>E05005862</t>
  </si>
  <si>
    <t>E05005863</t>
  </si>
  <si>
    <t>Scottow</t>
  </si>
  <si>
    <t>E05005864</t>
  </si>
  <si>
    <t>St Benet</t>
  </si>
  <si>
    <t>E05005865</t>
  </si>
  <si>
    <t>Sheringham North</t>
  </si>
  <si>
    <t>E05005866</t>
  </si>
  <si>
    <t>Sheringham South</t>
  </si>
  <si>
    <t>E05005867</t>
  </si>
  <si>
    <t>Stalham and Sutton</t>
  </si>
  <si>
    <t>E05005868</t>
  </si>
  <si>
    <t>Suffield Park</t>
  </si>
  <si>
    <t>E05005869</t>
  </si>
  <si>
    <t>The Raynhams</t>
  </si>
  <si>
    <t>E05005870</t>
  </si>
  <si>
    <t>The Runtons</t>
  </si>
  <si>
    <t>E05008557</t>
  </si>
  <si>
    <t>Walsingham</t>
  </si>
  <si>
    <t>E05005872</t>
  </si>
  <si>
    <t>Waterside</t>
  </si>
  <si>
    <t>E05005873</t>
  </si>
  <si>
    <t>Waxham</t>
  </si>
  <si>
    <t>E05005874</t>
  </si>
  <si>
    <t>Wensum</t>
  </si>
  <si>
    <t>E05005875</t>
  </si>
  <si>
    <t>Worstead</t>
  </si>
  <si>
    <t>E05005876</t>
  </si>
  <si>
    <t>* as created by The District of North Norfolk (Electoral Changes) Order 2003 and</t>
  </si>
  <si>
    <t xml:space="preserve">    as altered by The North Norfolk (Related Alterations) Order 2009</t>
  </si>
  <si>
    <t>CITY OF NORWICH  *</t>
  </si>
  <si>
    <t>Bowthorpe</t>
  </si>
  <si>
    <t>E05005877</t>
  </si>
  <si>
    <t>Catton Grove</t>
  </si>
  <si>
    <t>E05005878</t>
  </si>
  <si>
    <t>Crome</t>
  </si>
  <si>
    <t>E05005879</t>
  </si>
  <si>
    <t>Eaton</t>
  </si>
  <si>
    <t>E05005880</t>
  </si>
  <si>
    <t>Lakenham</t>
  </si>
  <si>
    <t>E05005881</t>
  </si>
  <si>
    <t>Mancroft</t>
  </si>
  <si>
    <t>E05005882</t>
  </si>
  <si>
    <t>Mile Cross</t>
  </si>
  <si>
    <t>E05005883</t>
  </si>
  <si>
    <t>E05005884</t>
  </si>
  <si>
    <t>Sewell</t>
  </si>
  <si>
    <t>E05005885</t>
  </si>
  <si>
    <t>Thorpe Hamlet</t>
  </si>
  <si>
    <t>E05005886</t>
  </si>
  <si>
    <t>Town Close</t>
  </si>
  <si>
    <t>E05005887</t>
  </si>
  <si>
    <t>University</t>
  </si>
  <si>
    <t>E05005888</t>
  </si>
  <si>
    <t>E05005889</t>
  </si>
  <si>
    <t>Norwich South BC (pt)</t>
  </si>
  <si>
    <t>* as created by The City of Norwich (Electoral Changes) Order 2002</t>
  </si>
  <si>
    <t>SOUTH NORFOLK DISTRICT  *</t>
  </si>
  <si>
    <t>E05005890</t>
  </si>
  <si>
    <t>Beck Vale</t>
  </si>
  <si>
    <t>E05005913</t>
  </si>
  <si>
    <t>Bressingham and Burston</t>
  </si>
  <si>
    <t>E05005914</t>
  </si>
  <si>
    <t>Brooke</t>
  </si>
  <si>
    <t>E05005891</t>
  </si>
  <si>
    <t>Bunwell</t>
  </si>
  <si>
    <t>E05005892</t>
  </si>
  <si>
    <t>Chedgrave and Thurton</t>
  </si>
  <si>
    <t>E05005915</t>
  </si>
  <si>
    <t>Cringleford</t>
  </si>
  <si>
    <t>E05005916</t>
  </si>
  <si>
    <t>Cromwells</t>
  </si>
  <si>
    <t>E05005917</t>
  </si>
  <si>
    <t>Dickleburgh</t>
  </si>
  <si>
    <t>E05005893</t>
  </si>
  <si>
    <t>Diss</t>
  </si>
  <si>
    <t>E05005918</t>
  </si>
  <si>
    <t>Ditchingham and Broome</t>
  </si>
  <si>
    <t>E05005894</t>
  </si>
  <si>
    <t>Earsham</t>
  </si>
  <si>
    <t>E05005919</t>
  </si>
  <si>
    <t>E05005895</t>
  </si>
  <si>
    <t>Forncett</t>
  </si>
  <si>
    <t>E05005896</t>
  </si>
  <si>
    <t>Gillingham</t>
  </si>
  <si>
    <t>E05005920</t>
  </si>
  <si>
    <t>Harleston</t>
  </si>
  <si>
    <t>E05005921</t>
  </si>
  <si>
    <t>Hempnall</t>
  </si>
  <si>
    <t>E05005897</t>
  </si>
  <si>
    <t>Hethersett</t>
  </si>
  <si>
    <t>E05005922</t>
  </si>
  <si>
    <t>Hingham and Deopham</t>
  </si>
  <si>
    <t>E05005898</t>
  </si>
  <si>
    <t>Loddon</t>
  </si>
  <si>
    <t>E05005923</t>
  </si>
  <si>
    <t>Mulbarton</t>
  </si>
  <si>
    <t>E05005924</t>
  </si>
  <si>
    <t>New Costessey</t>
  </si>
  <si>
    <t>E05005899</t>
  </si>
  <si>
    <t>Newton Flotman</t>
  </si>
  <si>
    <t>E05005900</t>
  </si>
  <si>
    <t>Northfields</t>
  </si>
  <si>
    <t>E05005901</t>
  </si>
  <si>
    <t>Old Costessey</t>
  </si>
  <si>
    <t>E05005902</t>
  </si>
  <si>
    <t>Poringland with the Framinghams</t>
  </si>
  <si>
    <t>E05005903</t>
  </si>
  <si>
    <t>Rockland</t>
  </si>
  <si>
    <t>E05005904</t>
  </si>
  <si>
    <t>E05005925</t>
  </si>
  <si>
    <t>Rustens</t>
  </si>
  <si>
    <t>E05005905</t>
  </si>
  <si>
    <t>Scole</t>
  </si>
  <si>
    <t>E05005906</t>
  </si>
  <si>
    <t>Stoke Holy Cross</t>
  </si>
  <si>
    <t>E05005907</t>
  </si>
  <si>
    <t>E05005908</t>
  </si>
  <si>
    <t>Tasburgh</t>
  </si>
  <si>
    <t>E05005909</t>
  </si>
  <si>
    <t>Thurlton</t>
  </si>
  <si>
    <t>E05005910</t>
  </si>
  <si>
    <t>E05005911</t>
  </si>
  <si>
    <t>Wicklewood</t>
  </si>
  <si>
    <t>E05005912</t>
  </si>
  <si>
    <t>* as created by The District of South Norfolk (Electoral Changes) Order 2002 and</t>
  </si>
  <si>
    <t xml:space="preserve">   as altered by The South Norfolk (Parish Electoral Arrangements and Electoral Changes) Order 2007</t>
  </si>
  <si>
    <t>BABERGH DISTRICT</t>
  </si>
  <si>
    <t>FOREST HEATH DISTRICT</t>
  </si>
  <si>
    <t>IPSWICH BOROUGH</t>
  </si>
  <si>
    <t>MID SUFFOLK DISTRICT</t>
  </si>
  <si>
    <t>ST EDMUNDSBURY BOROUGH</t>
  </si>
  <si>
    <t>SUFFOLK COASTAL DISTRICT</t>
  </si>
  <si>
    <t>WAVENEY DISTRICT</t>
  </si>
  <si>
    <t>Bury St Edmunds CC</t>
  </si>
  <si>
    <t>Mid Suffolk (pt)</t>
  </si>
  <si>
    <t>St Edmundsbury (pt)</t>
  </si>
  <si>
    <t>Central Suffolk and North Ipswich CC</t>
  </si>
  <si>
    <t>Ipswich (pt)</t>
  </si>
  <si>
    <t>Suffolk Coastal (pt)</t>
  </si>
  <si>
    <t>Ipswich BC</t>
  </si>
  <si>
    <t>Babergh (pt)</t>
  </si>
  <si>
    <t>South Suffolk CC</t>
  </si>
  <si>
    <t>Suffolk Coastal CC</t>
  </si>
  <si>
    <t>Waveney (pt)</t>
  </si>
  <si>
    <t>Waveney CC</t>
  </si>
  <si>
    <t>West Suffolk CC</t>
  </si>
  <si>
    <t>BABERGH DISTRICT  *</t>
  </si>
  <si>
    <t>E05007076</t>
  </si>
  <si>
    <t>Berners</t>
  </si>
  <si>
    <t>E05007077</t>
  </si>
  <si>
    <t>Boxford</t>
  </si>
  <si>
    <t>E05007078</t>
  </si>
  <si>
    <t>Brett Vale</t>
  </si>
  <si>
    <t>E05007079</t>
  </si>
  <si>
    <t>Brook</t>
  </si>
  <si>
    <t>E05007080</t>
  </si>
  <si>
    <t>Bures St Mary</t>
  </si>
  <si>
    <t>E05007081</t>
  </si>
  <si>
    <t>Chadacre</t>
  </si>
  <si>
    <t>E05007082</t>
  </si>
  <si>
    <t>Dodnash</t>
  </si>
  <si>
    <t>E05007083</t>
  </si>
  <si>
    <t>Glemsford and Stanstead</t>
  </si>
  <si>
    <t>E05007084</t>
  </si>
  <si>
    <t>Great Cornard North</t>
  </si>
  <si>
    <t>E05007085</t>
  </si>
  <si>
    <t>Great Cornard South</t>
  </si>
  <si>
    <t>E05007086</t>
  </si>
  <si>
    <t>Hadleigh North</t>
  </si>
  <si>
    <t>E05007087</t>
  </si>
  <si>
    <t>Hadleigh South</t>
  </si>
  <si>
    <t>E05007088</t>
  </si>
  <si>
    <t>E05007089</t>
  </si>
  <si>
    <t>Lavenham</t>
  </si>
  <si>
    <t>E05007090</t>
  </si>
  <si>
    <t>Leavenheath</t>
  </si>
  <si>
    <t>E05007091</t>
  </si>
  <si>
    <t>Long Melford</t>
  </si>
  <si>
    <t>E05007092</t>
  </si>
  <si>
    <t>Lower Brett</t>
  </si>
  <si>
    <t>E05007093</t>
  </si>
  <si>
    <t>Mid Samford</t>
  </si>
  <si>
    <t>E05007094</t>
  </si>
  <si>
    <t>Nayland</t>
  </si>
  <si>
    <t>E05007095</t>
  </si>
  <si>
    <t>North Cosford</t>
  </si>
  <si>
    <t>E05007096</t>
  </si>
  <si>
    <t>Pinewood</t>
  </si>
  <si>
    <t>E05007097</t>
  </si>
  <si>
    <t>South Cosford</t>
  </si>
  <si>
    <t>E05007098</t>
  </si>
  <si>
    <t>Sudbury East</t>
  </si>
  <si>
    <t>E05007099</t>
  </si>
  <si>
    <t>Sudbury North</t>
  </si>
  <si>
    <t>E05007100</t>
  </si>
  <si>
    <t>Sudbury South</t>
  </si>
  <si>
    <t>E05007101</t>
  </si>
  <si>
    <t>Waldingfield</t>
  </si>
  <si>
    <t>E05007102</t>
  </si>
  <si>
    <t>Ipswich BC (pt)</t>
  </si>
  <si>
    <t>South Suffolk CC (pt)</t>
  </si>
  <si>
    <t>* as created by The District of Babergh (Electoral Changes) Order 2001</t>
  </si>
  <si>
    <t xml:space="preserve">  and The District of Babergh (Electoral Changes) (Amendment) Order 2002</t>
  </si>
  <si>
    <t>FOREST HEATH DISTRICT  *</t>
  </si>
  <si>
    <t>E05007103</t>
  </si>
  <si>
    <t>Brandon East</t>
  </si>
  <si>
    <t>E05007104</t>
  </si>
  <si>
    <t>Brandon West</t>
  </si>
  <si>
    <t>E05007105</t>
  </si>
  <si>
    <t>Eriswell and The Rows</t>
  </si>
  <si>
    <t>E05007106</t>
  </si>
  <si>
    <t>Exning</t>
  </si>
  <si>
    <t>E05007107</t>
  </si>
  <si>
    <t>Great Heath</t>
  </si>
  <si>
    <t>E05007108</t>
  </si>
  <si>
    <t>Iceni</t>
  </si>
  <si>
    <t>E05007109</t>
  </si>
  <si>
    <t>Lakenheath</t>
  </si>
  <si>
    <t>E05007110</t>
  </si>
  <si>
    <t>E05007111</t>
  </si>
  <si>
    <t>E05007112</t>
  </si>
  <si>
    <t>Red Lodge</t>
  </si>
  <si>
    <t>E05007113</t>
  </si>
  <si>
    <t>E05007114</t>
  </si>
  <si>
    <t>Severals</t>
  </si>
  <si>
    <t>E05007115</t>
  </si>
  <si>
    <t>E05007116</t>
  </si>
  <si>
    <t>West Suffolk CC (pt)</t>
  </si>
  <si>
    <t>* as created by The District of Forest Heath (Electoral Changes) Order 2001</t>
  </si>
  <si>
    <t>IPSWICH BOROUGH  *</t>
  </si>
  <si>
    <t>Alexandra</t>
  </si>
  <si>
    <t>E05007117</t>
  </si>
  <si>
    <t>Bixley</t>
  </si>
  <si>
    <t>E05007118</t>
  </si>
  <si>
    <t>E05007119</t>
  </si>
  <si>
    <t>Castle Hill</t>
  </si>
  <si>
    <t>E05007120</t>
  </si>
  <si>
    <t>Gainsborough</t>
  </si>
  <si>
    <t>E05007121</t>
  </si>
  <si>
    <t>Gipping</t>
  </si>
  <si>
    <t>E05007122</t>
  </si>
  <si>
    <t>Holywells</t>
  </si>
  <si>
    <t>E05007123</t>
  </si>
  <si>
    <t>Priory Heath</t>
  </si>
  <si>
    <t>E05007124</t>
  </si>
  <si>
    <t>Rushmere</t>
  </si>
  <si>
    <t>E05007125</t>
  </si>
  <si>
    <t>E05007126</t>
  </si>
  <si>
    <t>E05007127</t>
  </si>
  <si>
    <t>Sprites</t>
  </si>
  <si>
    <t>E05007128</t>
  </si>
  <si>
    <t>Stoke Park</t>
  </si>
  <si>
    <t>E05007129</t>
  </si>
  <si>
    <t>E05007130</t>
  </si>
  <si>
    <t>E05007131</t>
  </si>
  <si>
    <t>Whitton</t>
  </si>
  <si>
    <t>E05007132</t>
  </si>
  <si>
    <t>Central Suffolk and North Ipswich CC (pt)</t>
  </si>
  <si>
    <t>* as created by The Borough of Ipswich (Electoral Changes) Order 2001</t>
  </si>
  <si>
    <t>MID SUFFOLK DISTRICT  *</t>
  </si>
  <si>
    <t>Bacton and Old Newton</t>
  </si>
  <si>
    <t>E05007133</t>
  </si>
  <si>
    <t>Badwell Ash</t>
  </si>
  <si>
    <t>E05007134</t>
  </si>
  <si>
    <t>Barking and Somersham</t>
  </si>
  <si>
    <t>E05007135</t>
  </si>
  <si>
    <t>Bramford and Blakenham</t>
  </si>
  <si>
    <t>E05007136</t>
  </si>
  <si>
    <t>Claydon and Barham</t>
  </si>
  <si>
    <t>E05007137</t>
  </si>
  <si>
    <t>Debenham</t>
  </si>
  <si>
    <t>E05007138</t>
  </si>
  <si>
    <t>Elmswell and Norton</t>
  </si>
  <si>
    <t>E05007139</t>
  </si>
  <si>
    <t>Eye</t>
  </si>
  <si>
    <t>E05007140</t>
  </si>
  <si>
    <t>Fressingfield</t>
  </si>
  <si>
    <t>E05007141</t>
  </si>
  <si>
    <t>Gislingham</t>
  </si>
  <si>
    <t>E05007142</t>
  </si>
  <si>
    <t>Haughley and Wetherden</t>
  </si>
  <si>
    <t>E05007143</t>
  </si>
  <si>
    <t>Helmingham and Coddenham</t>
  </si>
  <si>
    <t>E05007144</t>
  </si>
  <si>
    <t>Hoxne</t>
  </si>
  <si>
    <t>E05007145</t>
  </si>
  <si>
    <t>Mendlesham</t>
  </si>
  <si>
    <t>E05007146</t>
  </si>
  <si>
    <t>Needham Market</t>
  </si>
  <si>
    <t>E05007147</t>
  </si>
  <si>
    <t>Onehouse</t>
  </si>
  <si>
    <t>E05007148</t>
  </si>
  <si>
    <t>Palgrave</t>
  </si>
  <si>
    <t>E05007149</t>
  </si>
  <si>
    <t>Rattlesden</t>
  </si>
  <si>
    <t>E05007150</t>
  </si>
  <si>
    <t>Rickinghall and Walsham</t>
  </si>
  <si>
    <t>E05007151</t>
  </si>
  <si>
    <t>Ringshall</t>
  </si>
  <si>
    <t>E05007152</t>
  </si>
  <si>
    <t>Stowmarket Central</t>
  </si>
  <si>
    <t>E05007153</t>
  </si>
  <si>
    <t>Stowmarket North</t>
  </si>
  <si>
    <t>E05007154</t>
  </si>
  <si>
    <t>Stowmarket South</t>
  </si>
  <si>
    <t>E05007155</t>
  </si>
  <si>
    <t>Stowupland</t>
  </si>
  <si>
    <t>E05007156</t>
  </si>
  <si>
    <t>Stradbroke and Laxfield</t>
  </si>
  <si>
    <t>E05007157</t>
  </si>
  <si>
    <t>The Stonhams</t>
  </si>
  <si>
    <t>E05007158</t>
  </si>
  <si>
    <t>Thurston and Hessett</t>
  </si>
  <si>
    <t>E05007159</t>
  </si>
  <si>
    <t>Wetheringsett</t>
  </si>
  <si>
    <t>E05007160</t>
  </si>
  <si>
    <t>Woolpit</t>
  </si>
  <si>
    <t>E05007161</t>
  </si>
  <si>
    <t>Worlingworth</t>
  </si>
  <si>
    <t>E05007162</t>
  </si>
  <si>
    <t>Bury St Edmunds CC (pt)</t>
  </si>
  <si>
    <t>* as created by The District of Mid Suffolk (Electoral Changes) Order 2001</t>
  </si>
  <si>
    <t>ST EDMUNDSBURY BOROUGH  *</t>
  </si>
  <si>
    <t>Abbeygate</t>
  </si>
  <si>
    <t>E05007163</t>
  </si>
  <si>
    <t>Bardwell</t>
  </si>
  <si>
    <t>E05007164</t>
  </si>
  <si>
    <t>Barningham</t>
  </si>
  <si>
    <t>E05007165</t>
  </si>
  <si>
    <t>Barrow</t>
  </si>
  <si>
    <t>E05007166</t>
  </si>
  <si>
    <t>E05007167</t>
  </si>
  <si>
    <t>Chedburgh</t>
  </si>
  <si>
    <t>E05007168</t>
  </si>
  <si>
    <t>Clare</t>
  </si>
  <si>
    <t>E05007169</t>
  </si>
  <si>
    <t>Eastgate</t>
  </si>
  <si>
    <t>E05007170</t>
  </si>
  <si>
    <t>Fornham</t>
  </si>
  <si>
    <t>E05007171</t>
  </si>
  <si>
    <t>Great Barton</t>
  </si>
  <si>
    <t>E05007172</t>
  </si>
  <si>
    <t>Haverhill East</t>
  </si>
  <si>
    <t>E05007173</t>
  </si>
  <si>
    <t>Haverhill North</t>
  </si>
  <si>
    <t>E05007174</t>
  </si>
  <si>
    <t>Haverhill South</t>
  </si>
  <si>
    <t>E05007175</t>
  </si>
  <si>
    <t>Haverhill West</t>
  </si>
  <si>
    <t>E05007176</t>
  </si>
  <si>
    <t>Horringer and Whelnetham</t>
  </si>
  <si>
    <t>E05007177</t>
  </si>
  <si>
    <t>Hundon</t>
  </si>
  <si>
    <t>E05007178</t>
  </si>
  <si>
    <t>Ixworth</t>
  </si>
  <si>
    <t>E05007179</t>
  </si>
  <si>
    <t>Kedington</t>
  </si>
  <si>
    <t>E05007180</t>
  </si>
  <si>
    <t>Minden</t>
  </si>
  <si>
    <t>E05007181</t>
  </si>
  <si>
    <t>Moreton Hall</t>
  </si>
  <si>
    <t>E05007182</t>
  </si>
  <si>
    <t>E05007183</t>
  </si>
  <si>
    <t>Pakenham</t>
  </si>
  <si>
    <t>E05007184</t>
  </si>
  <si>
    <t>Risby</t>
  </si>
  <si>
    <t>E05007185</t>
  </si>
  <si>
    <t>Risbygate</t>
  </si>
  <si>
    <t>E05007186</t>
  </si>
  <si>
    <t>Rougham</t>
  </si>
  <si>
    <t>E05007187</t>
  </si>
  <si>
    <t>St Olaves</t>
  </si>
  <si>
    <t>E05007188</t>
  </si>
  <si>
    <t>Southgate</t>
  </si>
  <si>
    <t>E05007189</t>
  </si>
  <si>
    <t>E05007190</t>
  </si>
  <si>
    <t>E05007191</t>
  </si>
  <si>
    <t>Wickhambrook</t>
  </si>
  <si>
    <t>E05007192</t>
  </si>
  <si>
    <t>Withersfield</t>
  </si>
  <si>
    <t>E05007193</t>
  </si>
  <si>
    <t>* as created by The Borough of St Edmundsbury (Electoral Changes) Order 2001</t>
  </si>
  <si>
    <t>SUFFOLK COASTAL DISTRICT  *</t>
  </si>
  <si>
    <t>Aldeburgh</t>
  </si>
  <si>
    <t>E05010432</t>
  </si>
  <si>
    <t>Deben</t>
  </si>
  <si>
    <t>E05010433</t>
  </si>
  <si>
    <t>Felixstowe East</t>
  </si>
  <si>
    <t>E05010434</t>
  </si>
  <si>
    <t>Felixstowe North</t>
  </si>
  <si>
    <t>E05010435</t>
  </si>
  <si>
    <t>Felixstowe South</t>
  </si>
  <si>
    <t>E05010436</t>
  </si>
  <si>
    <t>Felixstowe West</t>
  </si>
  <si>
    <t>E05010437</t>
  </si>
  <si>
    <t>Framlingham</t>
  </si>
  <si>
    <t>E05010438</t>
  </si>
  <si>
    <t>Fynn Valley</t>
  </si>
  <si>
    <t>E05010439</t>
  </si>
  <si>
    <t>Grundisburgh</t>
  </si>
  <si>
    <t>E05010440</t>
  </si>
  <si>
    <t>Hacheston</t>
  </si>
  <si>
    <t>E05010441</t>
  </si>
  <si>
    <t>Kesgrave East</t>
  </si>
  <si>
    <t>E05010442</t>
  </si>
  <si>
    <t>Kesgrave West</t>
  </si>
  <si>
    <t>E05010443</t>
  </si>
  <si>
    <t>Kirton</t>
  </si>
  <si>
    <t>E05010444</t>
  </si>
  <si>
    <t>Leiston</t>
  </si>
  <si>
    <t>E05010445</t>
  </si>
  <si>
    <t>Martlesham</t>
  </si>
  <si>
    <t>E05010446</t>
  </si>
  <si>
    <t>E05010447</t>
  </si>
  <si>
    <t>Nacton &amp; Purdis Farm</t>
  </si>
  <si>
    <t>E05010448</t>
  </si>
  <si>
    <t>Orford &amp; Eyke</t>
  </si>
  <si>
    <t>E05010449</t>
  </si>
  <si>
    <t>Peasenhall &amp; Yoxford</t>
  </si>
  <si>
    <t>E05010450</t>
  </si>
  <si>
    <t>Rendlesham</t>
  </si>
  <si>
    <t>E05010451</t>
  </si>
  <si>
    <t>Saxmundham</t>
  </si>
  <si>
    <t>E05010452</t>
  </si>
  <si>
    <t>The Trimleys</t>
  </si>
  <si>
    <t>E05010453</t>
  </si>
  <si>
    <t>E05010454</t>
  </si>
  <si>
    <t>Wenhaston &amp; Westleton</t>
  </si>
  <si>
    <t>E05010455</t>
  </si>
  <si>
    <t>Wickham Market</t>
  </si>
  <si>
    <t>E05010456</t>
  </si>
  <si>
    <t>Woodbridge</t>
  </si>
  <si>
    <t>E05010457</t>
  </si>
  <si>
    <t>Suffolk Coastal CC (pt)</t>
  </si>
  <si>
    <t>* as created by The Suffolk Coastal (Electoral Changes) Order 2014</t>
  </si>
  <si>
    <t>WAVENEY DISTRICT  *</t>
  </si>
  <si>
    <t>Beccles North</t>
  </si>
  <si>
    <t>E05007228</t>
  </si>
  <si>
    <t>Beccles South</t>
  </si>
  <si>
    <t>E05007229</t>
  </si>
  <si>
    <t>Blything</t>
  </si>
  <si>
    <t>E05007230</t>
  </si>
  <si>
    <t>Bungay</t>
  </si>
  <si>
    <t>E05007231</t>
  </si>
  <si>
    <t>E05007232</t>
  </si>
  <si>
    <t>Carlton Colville</t>
  </si>
  <si>
    <t>E05007233</t>
  </si>
  <si>
    <t>Gunton and Corton</t>
  </si>
  <si>
    <t>E05007234</t>
  </si>
  <si>
    <t>Halesworth</t>
  </si>
  <si>
    <t>E05007235</t>
  </si>
  <si>
    <t>Harbour</t>
  </si>
  <si>
    <t>E05007236</t>
  </si>
  <si>
    <t>Kessingland</t>
  </si>
  <si>
    <t>E05007237</t>
  </si>
  <si>
    <t>Kirkley</t>
  </si>
  <si>
    <t>E05007238</t>
  </si>
  <si>
    <t>E05007239</t>
  </si>
  <si>
    <t>Normanston</t>
  </si>
  <si>
    <t>E05007240</t>
  </si>
  <si>
    <t>Oulton</t>
  </si>
  <si>
    <t>E05007241</t>
  </si>
  <si>
    <t>Oulton Broad</t>
  </si>
  <si>
    <t>E05007242</t>
  </si>
  <si>
    <t>Pakefield</t>
  </si>
  <si>
    <t>E05007243</t>
  </si>
  <si>
    <t>E05007244</t>
  </si>
  <si>
    <t>Southwold and Reydon</t>
  </si>
  <si>
    <t>E05007245</t>
  </si>
  <si>
    <t>E05007246</t>
  </si>
  <si>
    <t>Wainford</t>
  </si>
  <si>
    <t>E05007247</t>
  </si>
  <si>
    <t>E05007248</t>
  </si>
  <si>
    <t>Worlingham</t>
  </si>
  <si>
    <t>E05007249</t>
  </si>
  <si>
    <t>Wrentham</t>
  </si>
  <si>
    <t>E05007250</t>
  </si>
  <si>
    <t>* as created by The District of Waveney (Electoral Changes) Order 2001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</si>
  <si>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</si>
  <si>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</si>
  <si>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</si>
  <si>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</si>
  <si>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</si>
  <si>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</si>
  <si>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</si>
  <si>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</si>
  <si>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</si>
  <si>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</si>
  <si>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</si>
  <si>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</si>
  <si>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</si>
  <si>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</si>
  <si>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</si>
  <si>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</si>
  <si>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</si>
  <si>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</si>
  <si>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</si>
  <si>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</si>
  <si>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</si>
  <si>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</si>
  <si>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</si>
  <si>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</si>
  <si>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</si>
  <si>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</si>
  <si>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</si>
  <si>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Tower Hamlets</t>
  </si>
  <si>
    <t>Waltham Forest</t>
  </si>
  <si>
    <t>Wandsworth</t>
  </si>
  <si>
    <t>Westminster</t>
  </si>
  <si>
    <t>City of London</t>
  </si>
  <si>
    <t>LONDON REGION</t>
  </si>
  <si>
    <t>ELECTORATE TABLE</t>
  </si>
  <si>
    <t>BARKING AND DAGENHAM LONDON BOROUGH  *</t>
  </si>
  <si>
    <t>Barking BC</t>
  </si>
  <si>
    <t>Barking and Dagenham (pt)</t>
  </si>
  <si>
    <t>Redbridge (pt)</t>
  </si>
  <si>
    <t>Dagenham and Rainham BC</t>
  </si>
  <si>
    <t>Havering (pt)</t>
  </si>
  <si>
    <t>Romford BC</t>
  </si>
  <si>
    <t>E05000026</t>
  </si>
  <si>
    <t>Alibon</t>
  </si>
  <si>
    <t>E05000027</t>
  </si>
  <si>
    <t>Becontree</t>
  </si>
  <si>
    <t>E05000028</t>
  </si>
  <si>
    <t>Chadwell Heath</t>
  </si>
  <si>
    <t>E05000029</t>
  </si>
  <si>
    <t>Eastbrook</t>
  </si>
  <si>
    <t>E05000030</t>
  </si>
  <si>
    <t>Eastbury</t>
  </si>
  <si>
    <t>E05000031</t>
  </si>
  <si>
    <t>Gascoigne</t>
  </si>
  <si>
    <t>E05000032</t>
  </si>
  <si>
    <t>Goresbrook</t>
  </si>
  <si>
    <t>E05000033</t>
  </si>
  <si>
    <t>E05000034</t>
  </si>
  <si>
    <t>E05000035</t>
  </si>
  <si>
    <t>Mayesbrook</t>
  </si>
  <si>
    <t>E05000036</t>
  </si>
  <si>
    <t>Parsloes</t>
  </si>
  <si>
    <t>E05000037</t>
  </si>
  <si>
    <t>River</t>
  </si>
  <si>
    <t>E05000038</t>
  </si>
  <si>
    <t>Thames</t>
  </si>
  <si>
    <t>E05000039</t>
  </si>
  <si>
    <t>Valence</t>
  </si>
  <si>
    <t>E05000040</t>
  </si>
  <si>
    <t>E05000041</t>
  </si>
  <si>
    <t>Whalebone</t>
  </si>
  <si>
    <t>E05000042</t>
  </si>
  <si>
    <t>* as created by The London Borough of Barking and Dagenham (Electoral Changes) Order 2000</t>
  </si>
  <si>
    <t>BARNET LONDON BOROUGH  *</t>
  </si>
  <si>
    <t>Chipping Barnet and Mill Hill BC</t>
  </si>
  <si>
    <t>Barnet (pt)</t>
  </si>
  <si>
    <t>Enfield (pt)</t>
  </si>
  <si>
    <t>Finchley and Southgate BC</t>
  </si>
  <si>
    <t>Hampstead and Golders Green BC</t>
  </si>
  <si>
    <t>Camden (pt)</t>
  </si>
  <si>
    <t>Hendon BC</t>
  </si>
  <si>
    <t>Brunswick Park</t>
  </si>
  <si>
    <t>E05000043</t>
  </si>
  <si>
    <t>Burnt Oak</t>
  </si>
  <si>
    <t>E05000044</t>
  </si>
  <si>
    <t>Childs Hill</t>
  </si>
  <si>
    <t>E05000045</t>
  </si>
  <si>
    <t>Colindale</t>
  </si>
  <si>
    <t>E05000046</t>
  </si>
  <si>
    <t>Coppetts</t>
  </si>
  <si>
    <t>E05000047</t>
  </si>
  <si>
    <t>East Barnet</t>
  </si>
  <si>
    <t>E05000048</t>
  </si>
  <si>
    <t>East Finchley</t>
  </si>
  <si>
    <t>E05000049</t>
  </si>
  <si>
    <t>Edgware</t>
  </si>
  <si>
    <t>E05000050</t>
  </si>
  <si>
    <t>Finchley Church End</t>
  </si>
  <si>
    <t>E05000051</t>
  </si>
  <si>
    <t>Garden Suburb</t>
  </si>
  <si>
    <t>E05000052</t>
  </si>
  <si>
    <t>Golders Green</t>
  </si>
  <si>
    <t>E05000053</t>
  </si>
  <si>
    <t>Hale</t>
  </si>
  <si>
    <t>E05000054</t>
  </si>
  <si>
    <t>E05000055</t>
  </si>
  <si>
    <t>High Barnet</t>
  </si>
  <si>
    <t>E05000056</t>
  </si>
  <si>
    <t>Mill Hill</t>
  </si>
  <si>
    <t>E05000057</t>
  </si>
  <si>
    <t>Oakleigh</t>
  </si>
  <si>
    <t>E05000058</t>
  </si>
  <si>
    <t>Totteridge</t>
  </si>
  <si>
    <t>E05000059</t>
  </si>
  <si>
    <t>E05000060</t>
  </si>
  <si>
    <t>West Finchley</t>
  </si>
  <si>
    <t>E05000061</t>
  </si>
  <si>
    <t>West Hendon</t>
  </si>
  <si>
    <t>E05000062</t>
  </si>
  <si>
    <t>E05000063</t>
  </si>
  <si>
    <t>* as created by The London Borough of Barnet (Electoral Changes) Order 2000</t>
  </si>
  <si>
    <t>BEXLEY LONDON BOROUGH  *</t>
  </si>
  <si>
    <t>Erith and Crayford BC</t>
  </si>
  <si>
    <t>Bexley (pt)</t>
  </si>
  <si>
    <t>Old Bexley and Sidcup BC</t>
  </si>
  <si>
    <t>Woolwich BC</t>
  </si>
  <si>
    <t>Greenwich (pt)</t>
  </si>
  <si>
    <t>Barnehurst</t>
  </si>
  <si>
    <t>E05000064</t>
  </si>
  <si>
    <t>Belvedere</t>
  </si>
  <si>
    <t>E05000065</t>
  </si>
  <si>
    <t>Blackfen and Lamorbey</t>
  </si>
  <si>
    <t>E05000066</t>
  </si>
  <si>
    <t>Blendon and Penhill</t>
  </si>
  <si>
    <t>E05000067</t>
  </si>
  <si>
    <t>E05000068</t>
  </si>
  <si>
    <t>E05000069</t>
  </si>
  <si>
    <t>Colyers</t>
  </si>
  <si>
    <t>E05000070</t>
  </si>
  <si>
    <t>Crayford</t>
  </si>
  <si>
    <t>E05000071</t>
  </si>
  <si>
    <t>Cray Meadows</t>
  </si>
  <si>
    <t>E05000072</t>
  </si>
  <si>
    <t>Danson Park</t>
  </si>
  <si>
    <t>E05000073</t>
  </si>
  <si>
    <t>East Wickham</t>
  </si>
  <si>
    <t>E05000074</t>
  </si>
  <si>
    <t>Erith</t>
  </si>
  <si>
    <t>E05000075</t>
  </si>
  <si>
    <t>Falconwood and Welling</t>
  </si>
  <si>
    <t>E05000076</t>
  </si>
  <si>
    <t>Lesnes Abbey</t>
  </si>
  <si>
    <t>E05000077</t>
  </si>
  <si>
    <t>Longlands</t>
  </si>
  <si>
    <t>E05000078</t>
  </si>
  <si>
    <t>North End</t>
  </si>
  <si>
    <t>E05000079</t>
  </si>
  <si>
    <t>Northumberland Heath</t>
  </si>
  <si>
    <t>E05000080</t>
  </si>
  <si>
    <t>E05000081</t>
  </si>
  <si>
    <t>E05000082</t>
  </si>
  <si>
    <t>Sidcup</t>
  </si>
  <si>
    <t>E05000083</t>
  </si>
  <si>
    <t>Thamesmead East</t>
  </si>
  <si>
    <t>E05000084</t>
  </si>
  <si>
    <t>* as created by The London Borough of Bexley (Electoral Changes) Order 2000</t>
  </si>
  <si>
    <t>BRENT LONDON BOROUGH  *</t>
  </si>
  <si>
    <t>Kenton BC</t>
  </si>
  <si>
    <t>Brent (pt)</t>
  </si>
  <si>
    <t>Harrow (pt)</t>
  </si>
  <si>
    <t>Queen's Park and Regent's Park BC</t>
  </si>
  <si>
    <t>Westminster (pt)</t>
  </si>
  <si>
    <t>Wembley and Harrow on the Hill BC</t>
  </si>
  <si>
    <t>Willesden BC</t>
  </si>
  <si>
    <t>Hammersmith and Fulham (pt)</t>
  </si>
  <si>
    <t>Alperton</t>
  </si>
  <si>
    <t>E05000085</t>
  </si>
  <si>
    <t>Barnhill</t>
  </si>
  <si>
    <t>E05000086</t>
  </si>
  <si>
    <t>Brondesbury Park</t>
  </si>
  <si>
    <t>E05000087</t>
  </si>
  <si>
    <t>Dollis Hill</t>
  </si>
  <si>
    <t>E05000088</t>
  </si>
  <si>
    <t>Dudden Hill</t>
  </si>
  <si>
    <t>E05000089</t>
  </si>
  <si>
    <t>Fryent</t>
  </si>
  <si>
    <t>E05000090</t>
  </si>
  <si>
    <t>Harlesden</t>
  </si>
  <si>
    <t>E05000091</t>
  </si>
  <si>
    <t>Kensal Green</t>
  </si>
  <si>
    <t>E05000092</t>
  </si>
  <si>
    <t>E05000093</t>
  </si>
  <si>
    <t>Kilburn</t>
  </si>
  <si>
    <t>E05000094</t>
  </si>
  <si>
    <t>Mapesbury</t>
  </si>
  <si>
    <t>E05000095</t>
  </si>
  <si>
    <t>Northwick Park</t>
  </si>
  <si>
    <t>E05000096</t>
  </si>
  <si>
    <t>E05000097</t>
  </si>
  <si>
    <t>E05000098</t>
  </si>
  <si>
    <t>Queensbury</t>
  </si>
  <si>
    <t>E05000099</t>
  </si>
  <si>
    <t>Stonebridge</t>
  </si>
  <si>
    <t>E05000100</t>
  </si>
  <si>
    <t>Sudbury</t>
  </si>
  <si>
    <t>E05000101</t>
  </si>
  <si>
    <t>Tokyngton</t>
  </si>
  <si>
    <t>E05000102</t>
  </si>
  <si>
    <t>Welsh Harp</t>
  </si>
  <si>
    <t>E05000103</t>
  </si>
  <si>
    <t>Wembley Central</t>
  </si>
  <si>
    <t>E05000104</t>
  </si>
  <si>
    <t>Willesden Green</t>
  </si>
  <si>
    <t>E05000105</t>
  </si>
  <si>
    <t>* as created by The London Borough of Brent (Electoral Changes) Order 2000</t>
  </si>
  <si>
    <t>BROMLEY LONDON BOROUGH  *</t>
  </si>
  <si>
    <t>Beckenham BC</t>
  </si>
  <si>
    <t>Bromley (pt)</t>
  </si>
  <si>
    <t>Croydon (pt)</t>
  </si>
  <si>
    <t>Bromley and Chislehurst BC</t>
  </si>
  <si>
    <t>Croydon North BC</t>
  </si>
  <si>
    <t>Orpington BC</t>
  </si>
  <si>
    <t>Bickley</t>
  </si>
  <si>
    <t>E05000106</t>
  </si>
  <si>
    <t>Biggin Hill</t>
  </si>
  <si>
    <t>E05000107</t>
  </si>
  <si>
    <t>Bromley Common and Keston</t>
  </si>
  <si>
    <t>E05000108</t>
  </si>
  <si>
    <t>Bromley Town</t>
  </si>
  <si>
    <t>E05000109</t>
  </si>
  <si>
    <t>Chelsfield and Pratts Bottom</t>
  </si>
  <si>
    <t>E05000110</t>
  </si>
  <si>
    <t>Chislehurst</t>
  </si>
  <si>
    <t>E05000111</t>
  </si>
  <si>
    <t>Clock House</t>
  </si>
  <si>
    <t>E05000112</t>
  </si>
  <si>
    <t>Copers Cope</t>
  </si>
  <si>
    <t>E05000113</t>
  </si>
  <si>
    <t>Cray Valley East</t>
  </si>
  <si>
    <t>E05000114</t>
  </si>
  <si>
    <t>Cray Valley West</t>
  </si>
  <si>
    <t>E05000115</t>
  </si>
  <si>
    <t>Crystal Palace</t>
  </si>
  <si>
    <t>E05000116</t>
  </si>
  <si>
    <t>Darwin</t>
  </si>
  <si>
    <t>E05000117</t>
  </si>
  <si>
    <t>Farnborough and Crofton</t>
  </si>
  <si>
    <t>E05000118</t>
  </si>
  <si>
    <t>Hayes and Coney Hall</t>
  </si>
  <si>
    <t>E05000119</t>
  </si>
  <si>
    <t>Kelsey and Eden Park</t>
  </si>
  <si>
    <t>E05000120</t>
  </si>
  <si>
    <t>Mottingham and Chislehurst North</t>
  </si>
  <si>
    <t>E05000121</t>
  </si>
  <si>
    <t>Orpington</t>
  </si>
  <si>
    <t>E05000122</t>
  </si>
  <si>
    <t>Penge and Cator</t>
  </si>
  <si>
    <t>E05000123</t>
  </si>
  <si>
    <t>Petts Wood and Knoll</t>
  </si>
  <si>
    <t>E05000124</t>
  </si>
  <si>
    <t>Plaistow and Sundridge</t>
  </si>
  <si>
    <t>E05000125</t>
  </si>
  <si>
    <t>Shortlands</t>
  </si>
  <si>
    <t>E05000126</t>
  </si>
  <si>
    <t>West Wickham</t>
  </si>
  <si>
    <t>E05000127</t>
  </si>
  <si>
    <t>* as created by The London Borough of Bromley (Electoral Changes) Order 2000</t>
  </si>
  <si>
    <t>CAMDEN LONDON BOROUGH  *</t>
  </si>
  <si>
    <t>Cities of London and Westminster BC</t>
  </si>
  <si>
    <t>Holborn and St Pancras BC</t>
  </si>
  <si>
    <t>Islington (pt)</t>
  </si>
  <si>
    <t>Belsize</t>
  </si>
  <si>
    <t>E05000128</t>
  </si>
  <si>
    <t>Bloomsbury</t>
  </si>
  <si>
    <t>E05000129</t>
  </si>
  <si>
    <t>Camden Town with Primrose Hill</t>
  </si>
  <si>
    <t>E05000130</t>
  </si>
  <si>
    <t>Cantelowes</t>
  </si>
  <si>
    <t>E05000131</t>
  </si>
  <si>
    <t>Fortune Green</t>
  </si>
  <si>
    <t>E05000132</t>
  </si>
  <si>
    <t>Frognal and Fitzjohns</t>
  </si>
  <si>
    <t>E05000133</t>
  </si>
  <si>
    <t>Gospel Oak</t>
  </si>
  <si>
    <t>E05000134</t>
  </si>
  <si>
    <t>Hampstead Town</t>
  </si>
  <si>
    <t>E05000135</t>
  </si>
  <si>
    <t>Haverstock</t>
  </si>
  <si>
    <t>E05000136</t>
  </si>
  <si>
    <t>Highgate</t>
  </si>
  <si>
    <t>E05000137</t>
  </si>
  <si>
    <t>Holborn and Covent Garden</t>
  </si>
  <si>
    <t>E05000138</t>
  </si>
  <si>
    <t>Kentish Town</t>
  </si>
  <si>
    <t>E05000139</t>
  </si>
  <si>
    <t>E05000140</t>
  </si>
  <si>
    <t>King's Cross</t>
  </si>
  <si>
    <t>E05000141</t>
  </si>
  <si>
    <t>Regent's Park</t>
  </si>
  <si>
    <t>E05000142</t>
  </si>
  <si>
    <t>St Pancras and Somers Town</t>
  </si>
  <si>
    <t>E05000143</t>
  </si>
  <si>
    <t>Swiss Cottage</t>
  </si>
  <si>
    <t>E05000144</t>
  </si>
  <si>
    <t>West Hampstead</t>
  </si>
  <si>
    <t>E05000145</t>
  </si>
  <si>
    <t>* as created by The London Borough of Camden (Electoral Changes) Order 2000</t>
  </si>
  <si>
    <t>CITY OF LONDON</t>
  </si>
  <si>
    <t>Aldersgate</t>
  </si>
  <si>
    <t>E05009288</t>
  </si>
  <si>
    <t>Aldgate</t>
  </si>
  <si>
    <t>E05009289</t>
  </si>
  <si>
    <t>Bassishaw</t>
  </si>
  <si>
    <t>E05009290</t>
  </si>
  <si>
    <t>Billingsgate</t>
  </si>
  <si>
    <t>E05009291</t>
  </si>
  <si>
    <t>Bishopsgate</t>
  </si>
  <si>
    <t>E05009292</t>
  </si>
  <si>
    <t>Bread Street</t>
  </si>
  <si>
    <t>E05009293</t>
  </si>
  <si>
    <t>E05009294</t>
  </si>
  <si>
    <t>Broad Street</t>
  </si>
  <si>
    <t>E05009295</t>
  </si>
  <si>
    <t>Candlewick</t>
  </si>
  <si>
    <t>E05009296</t>
  </si>
  <si>
    <t>Castle Baynard</t>
  </si>
  <si>
    <t>E05009297</t>
  </si>
  <si>
    <t>Cheap</t>
  </si>
  <si>
    <t>E05009298</t>
  </si>
  <si>
    <t>Coleman Street</t>
  </si>
  <si>
    <t>E05009299</t>
  </si>
  <si>
    <t>Cordwainer</t>
  </si>
  <si>
    <t>E05009300</t>
  </si>
  <si>
    <t>Cornhill</t>
  </si>
  <si>
    <t>E05009301</t>
  </si>
  <si>
    <t>Cripplegate</t>
  </si>
  <si>
    <t>E05009302</t>
  </si>
  <si>
    <t>Dowgate</t>
  </si>
  <si>
    <t>E05009303</t>
  </si>
  <si>
    <t>Farringdon Within</t>
  </si>
  <si>
    <t>E05009304</t>
  </si>
  <si>
    <t>Farringdon Without</t>
  </si>
  <si>
    <t>E05009305</t>
  </si>
  <si>
    <t>Langbourn</t>
  </si>
  <si>
    <t>E05009306</t>
  </si>
  <si>
    <t>Lime Street</t>
  </si>
  <si>
    <t>E05009307</t>
  </si>
  <si>
    <t>Portsoken</t>
  </si>
  <si>
    <t>E05009308</t>
  </si>
  <si>
    <t>Queenhithe</t>
  </si>
  <si>
    <t>E05009309</t>
  </si>
  <si>
    <t>E05009310</t>
  </si>
  <si>
    <t>Vintry</t>
  </si>
  <si>
    <t>E05009311</t>
  </si>
  <si>
    <t>Walbrook</t>
  </si>
  <si>
    <t>E05009312</t>
  </si>
  <si>
    <t>CROYDON LONDON BOROUGH  *</t>
  </si>
  <si>
    <t>Croydon Central BC</t>
  </si>
  <si>
    <t>Croydon South BC</t>
  </si>
  <si>
    <t>Streatham and Mitcham BC</t>
  </si>
  <si>
    <t>Lambeth (pt)</t>
  </si>
  <si>
    <t>Merton (pt)</t>
  </si>
  <si>
    <t>Addiscombe</t>
  </si>
  <si>
    <t>E05000146</t>
  </si>
  <si>
    <t>Ashburton</t>
  </si>
  <si>
    <t>E05000147</t>
  </si>
  <si>
    <t>Bensham Manor</t>
  </si>
  <si>
    <t>E05000148</t>
  </si>
  <si>
    <t>Broad Green</t>
  </si>
  <si>
    <t>E05000149</t>
  </si>
  <si>
    <t>Coulsdon East</t>
  </si>
  <si>
    <t>E05000150</t>
  </si>
  <si>
    <t>Coulsdon West</t>
  </si>
  <si>
    <t>E05000151</t>
  </si>
  <si>
    <t>Croham</t>
  </si>
  <si>
    <t>E05000152</t>
  </si>
  <si>
    <t>E05000153</t>
  </si>
  <si>
    <t>Fieldway</t>
  </si>
  <si>
    <t>E05000154</t>
  </si>
  <si>
    <t>Heathfield</t>
  </si>
  <si>
    <t>E05000155</t>
  </si>
  <si>
    <t>Kenley</t>
  </si>
  <si>
    <t>E05000156</t>
  </si>
  <si>
    <t>New Addington</t>
  </si>
  <si>
    <t>E05000157</t>
  </si>
  <si>
    <t>E05000158</t>
  </si>
  <si>
    <t>Purley</t>
  </si>
  <si>
    <t>E05000159</t>
  </si>
  <si>
    <t>Sanderstead</t>
  </si>
  <si>
    <t>E05000160</t>
  </si>
  <si>
    <t>Selhurst</t>
  </si>
  <si>
    <t>E05000161</t>
  </si>
  <si>
    <t>Selsdon and Ballards</t>
  </si>
  <si>
    <t>E05000162</t>
  </si>
  <si>
    <t>Shirley</t>
  </si>
  <si>
    <t>E05000163</t>
  </si>
  <si>
    <t>South Norwood</t>
  </si>
  <si>
    <t>E05000164</t>
  </si>
  <si>
    <t>Thornton Heath</t>
  </si>
  <si>
    <t>E05000165</t>
  </si>
  <si>
    <t>Upper Norwood</t>
  </si>
  <si>
    <t>E05000166</t>
  </si>
  <si>
    <t>Waddon</t>
  </si>
  <si>
    <t>E05000167</t>
  </si>
  <si>
    <t>West Thornton</t>
  </si>
  <si>
    <t>E05000168</t>
  </si>
  <si>
    <t>E05000169</t>
  </si>
  <si>
    <t>* as created by The London Borough of Croydon (Electoral Changes) Order 2000</t>
  </si>
  <si>
    <t>EALING LONDON BOROUGH  *</t>
  </si>
  <si>
    <t>Brentford and Chiswick BC</t>
  </si>
  <si>
    <t>Ealing (pt)</t>
  </si>
  <si>
    <t>Hounslow (pt)</t>
  </si>
  <si>
    <t>Ealing Central and Shepherd's Bush BC</t>
  </si>
  <si>
    <t>Ealing North BC</t>
  </si>
  <si>
    <t>Hillingdon and Uxbridge BC</t>
  </si>
  <si>
    <t>Hillingdon (pt)</t>
  </si>
  <si>
    <t>Southall and Heston BC</t>
  </si>
  <si>
    <t>Acton Central</t>
  </si>
  <si>
    <t>E05000170</t>
  </si>
  <si>
    <t>Cleveland</t>
  </si>
  <si>
    <t>E05000171</t>
  </si>
  <si>
    <t>Dormers Wells</t>
  </si>
  <si>
    <t>E05000172</t>
  </si>
  <si>
    <t>Ealing Broadway</t>
  </si>
  <si>
    <t>E05000173</t>
  </si>
  <si>
    <t>Ealing Common</t>
  </si>
  <si>
    <t>E05000174</t>
  </si>
  <si>
    <t>East Acton</t>
  </si>
  <si>
    <t>E05000175</t>
  </si>
  <si>
    <t>Elthorne</t>
  </si>
  <si>
    <t>E05000176</t>
  </si>
  <si>
    <t>Greenford Broadway</t>
  </si>
  <si>
    <t>E05000177</t>
  </si>
  <si>
    <t>Greenford Green</t>
  </si>
  <si>
    <t>E05000178</t>
  </si>
  <si>
    <t>Hanger Hill</t>
  </si>
  <si>
    <t>E05000179</t>
  </si>
  <si>
    <t>Hobbayne</t>
  </si>
  <si>
    <t>E05000180</t>
  </si>
  <si>
    <t>Lady Margaret</t>
  </si>
  <si>
    <t>E05000181</t>
  </si>
  <si>
    <t>E05000182</t>
  </si>
  <si>
    <t>North Greenford</t>
  </si>
  <si>
    <t>E05000183</t>
  </si>
  <si>
    <t>Northolt Mandeville</t>
  </si>
  <si>
    <t>E05000184</t>
  </si>
  <si>
    <t>Northolt West End</t>
  </si>
  <si>
    <t>E05000185</t>
  </si>
  <si>
    <t>Norwood Green</t>
  </si>
  <si>
    <t>E05000186</t>
  </si>
  <si>
    <t>Perivale</t>
  </si>
  <si>
    <t>E05000187</t>
  </si>
  <si>
    <t>South Acton</t>
  </si>
  <si>
    <t>E05000188</t>
  </si>
  <si>
    <t>Southall Broadway</t>
  </si>
  <si>
    <t>E05000189</t>
  </si>
  <si>
    <t>Southall Green</t>
  </si>
  <si>
    <t>E05000190</t>
  </si>
  <si>
    <t>Southfield</t>
  </si>
  <si>
    <t>E05000191</t>
  </si>
  <si>
    <t>E05000192</t>
  </si>
  <si>
    <t>* as created by The London Borough of Ealing (Electoral Changes) Order 2000</t>
  </si>
  <si>
    <t>ENFIELD LONDON BOROUGH  *</t>
  </si>
  <si>
    <t>Edmonton BC</t>
  </si>
  <si>
    <t>Enfield BC</t>
  </si>
  <si>
    <t>Hornsey and Wood Green BC</t>
  </si>
  <si>
    <t>Haringey (pt)</t>
  </si>
  <si>
    <t>Bowes</t>
  </si>
  <si>
    <t>E05000193</t>
  </si>
  <si>
    <t>Bush Hill Park</t>
  </si>
  <si>
    <t>E05000194</t>
  </si>
  <si>
    <t>E05000195</t>
  </si>
  <si>
    <t>Cockfosters</t>
  </si>
  <si>
    <t>E05000196</t>
  </si>
  <si>
    <t>Edmonton Green</t>
  </si>
  <si>
    <t>E05000197</t>
  </si>
  <si>
    <t>Enfield Highway</t>
  </si>
  <si>
    <t>E05000198</t>
  </si>
  <si>
    <t>Enfield Lock</t>
  </si>
  <si>
    <t>E05000199</t>
  </si>
  <si>
    <t>E05000200</t>
  </si>
  <si>
    <t>Haselbury</t>
  </si>
  <si>
    <t>E05000201</t>
  </si>
  <si>
    <t>Highlands</t>
  </si>
  <si>
    <t>E05000202</t>
  </si>
  <si>
    <t>Jubilee</t>
  </si>
  <si>
    <t>E05000203</t>
  </si>
  <si>
    <t>Lower Edmonton</t>
  </si>
  <si>
    <t>E05000204</t>
  </si>
  <si>
    <t>Palmers Green</t>
  </si>
  <si>
    <t>E05000205</t>
  </si>
  <si>
    <t>Ponders End</t>
  </si>
  <si>
    <t>E05000206</t>
  </si>
  <si>
    <t>Southbury</t>
  </si>
  <si>
    <t>E05000207</t>
  </si>
  <si>
    <t>E05000208</t>
  </si>
  <si>
    <t>Southgate Green</t>
  </si>
  <si>
    <t>E05000209</t>
  </si>
  <si>
    <t>E05000210</t>
  </si>
  <si>
    <t>Turkey Street</t>
  </si>
  <si>
    <t>E05000211</t>
  </si>
  <si>
    <t>Upper Edmonton</t>
  </si>
  <si>
    <t>E05000212</t>
  </si>
  <si>
    <t>Winchmore Hill</t>
  </si>
  <si>
    <t>E05000213</t>
  </si>
  <si>
    <t>* as created by The London Borough of Enfield (Electoral Changes) Order 2000</t>
  </si>
  <si>
    <t>GREENWICH LONDON BOROUGH  *</t>
  </si>
  <si>
    <t>Eltham BC</t>
  </si>
  <si>
    <t>Greenwich and Deptford BC</t>
  </si>
  <si>
    <t>Lewisham (pt)</t>
  </si>
  <si>
    <t>Abbey Wood</t>
  </si>
  <si>
    <t>E05000214</t>
  </si>
  <si>
    <t>Blackheath Westcombe</t>
  </si>
  <si>
    <t>E05000215</t>
  </si>
  <si>
    <t>Charlton</t>
  </si>
  <si>
    <t>E05000216</t>
  </si>
  <si>
    <t>Coldharbour and New Eltham</t>
  </si>
  <si>
    <t>E05000217</t>
  </si>
  <si>
    <t>Eltham North</t>
  </si>
  <si>
    <t>E05000218</t>
  </si>
  <si>
    <t>Eltham South</t>
  </si>
  <si>
    <t>E05000219</t>
  </si>
  <si>
    <t>Eltham West</t>
  </si>
  <si>
    <t>E05000220</t>
  </si>
  <si>
    <t>Glyndon</t>
  </si>
  <si>
    <t>E05000221</t>
  </si>
  <si>
    <t>Greenwich West</t>
  </si>
  <si>
    <t>E05000222</t>
  </si>
  <si>
    <t>Kidbrooke with Hornfair</t>
  </si>
  <si>
    <t>E05000223</t>
  </si>
  <si>
    <t>Middle Park and Sutcliffe</t>
  </si>
  <si>
    <t>E05000224</t>
  </si>
  <si>
    <t>Peninsula</t>
  </si>
  <si>
    <t>E05000225</t>
  </si>
  <si>
    <t>E05000226</t>
  </si>
  <si>
    <t>Shooters Hill</t>
  </si>
  <si>
    <t>E05000227</t>
  </si>
  <si>
    <t>Thamesmead Moorings</t>
  </si>
  <si>
    <t>E05000228</t>
  </si>
  <si>
    <t>Woolwich Common</t>
  </si>
  <si>
    <t>E05000229</t>
  </si>
  <si>
    <t>Woolwich Riverside</t>
  </si>
  <si>
    <t>E05000230</t>
  </si>
  <si>
    <t>* as created by The London Borough of Greenwich (Electoral Changes) Order 2000</t>
  </si>
  <si>
    <t>HACKNEY LONDON BOROUGH  *</t>
  </si>
  <si>
    <t>Finsbury Park and Stoke Newington BC</t>
  </si>
  <si>
    <t>Hackney (pt)</t>
  </si>
  <si>
    <t>Hackney Central BC</t>
  </si>
  <si>
    <t>Hackney West and Bethnal Green BC</t>
  </si>
  <si>
    <t>Tower Hamlets (pt)</t>
  </si>
  <si>
    <t>Brownswood</t>
  </si>
  <si>
    <t>E05009367</t>
  </si>
  <si>
    <t>Cazenove</t>
  </si>
  <si>
    <t>E05009368</t>
  </si>
  <si>
    <t>Clissold</t>
  </si>
  <si>
    <t>E05009369</t>
  </si>
  <si>
    <t>Dalston</t>
  </si>
  <si>
    <t>E05009370</t>
  </si>
  <si>
    <t>De Beauvoir</t>
  </si>
  <si>
    <t>E05009371</t>
  </si>
  <si>
    <t>Hackney Central</t>
  </si>
  <si>
    <t>E05009372</t>
  </si>
  <si>
    <t>Hackney Downs</t>
  </si>
  <si>
    <t>E05009373</t>
  </si>
  <si>
    <t>Hackney Wick</t>
  </si>
  <si>
    <t>E05009374</t>
  </si>
  <si>
    <t>Haggerston</t>
  </si>
  <si>
    <t>E05009375</t>
  </si>
  <si>
    <t>Homerton</t>
  </si>
  <si>
    <t>E05009376</t>
  </si>
  <si>
    <t>Hoxton East &amp; Shoreditch</t>
  </si>
  <si>
    <t>E05009377</t>
  </si>
  <si>
    <t>Hoxton West</t>
  </si>
  <si>
    <t>E05009378</t>
  </si>
  <si>
    <t>King's Park</t>
  </si>
  <si>
    <t>E05009379</t>
  </si>
  <si>
    <t>Lea Bridge</t>
  </si>
  <si>
    <t>E05009380</t>
  </si>
  <si>
    <t>London Fields</t>
  </si>
  <si>
    <t>E05009381</t>
  </si>
  <si>
    <t>Shacklewell</t>
  </si>
  <si>
    <t>E05009382</t>
  </si>
  <si>
    <t>E05009383</t>
  </si>
  <si>
    <t>Stamford Hill West</t>
  </si>
  <si>
    <t>E05009384</t>
  </si>
  <si>
    <t>Stoke Newington</t>
  </si>
  <si>
    <t>E05009385</t>
  </si>
  <si>
    <t>E05009386</t>
  </si>
  <si>
    <t>Woodberry Down</t>
  </si>
  <si>
    <t>E05009387</t>
  </si>
  <si>
    <t>* as created by The Hackney (Electoral Changes) Order 2013</t>
  </si>
  <si>
    <t>HAMMERSMITH AND FULHAM LONDON BOROUGH  *</t>
  </si>
  <si>
    <t>Hammersmith and Fulham BC</t>
  </si>
  <si>
    <t>Addison</t>
  </si>
  <si>
    <t>E05000250</t>
  </si>
  <si>
    <t>Askew</t>
  </si>
  <si>
    <t>E05000251</t>
  </si>
  <si>
    <t>Avonmore and Brook Green</t>
  </si>
  <si>
    <t>E05000252</t>
  </si>
  <si>
    <t>College Park and Old Oak</t>
  </si>
  <si>
    <t>E05000253</t>
  </si>
  <si>
    <t>Fulham Broadway</t>
  </si>
  <si>
    <t>E05000254</t>
  </si>
  <si>
    <t>Fulham Reach</t>
  </si>
  <si>
    <t>E05000255</t>
  </si>
  <si>
    <t>Hammersmith Broadway</t>
  </si>
  <si>
    <t>E05000256</t>
  </si>
  <si>
    <t>Munster</t>
  </si>
  <si>
    <t>E05000257</t>
  </si>
  <si>
    <t>E05000258</t>
  </si>
  <si>
    <t>Palace Riverside</t>
  </si>
  <si>
    <t>E05000259</t>
  </si>
  <si>
    <t>Parsons Green and Walham</t>
  </si>
  <si>
    <t>E05000260</t>
  </si>
  <si>
    <t>Ravenscourt Park</t>
  </si>
  <si>
    <t>E05000261</t>
  </si>
  <si>
    <t>Sands End</t>
  </si>
  <si>
    <t>E05000262</t>
  </si>
  <si>
    <t>Shepherd's Bush Green</t>
  </si>
  <si>
    <t>E05000263</t>
  </si>
  <si>
    <t>E05000264</t>
  </si>
  <si>
    <t>Wormholt and White City</t>
  </si>
  <si>
    <t>E05000265</t>
  </si>
  <si>
    <t>* as created by The London Borough of Hammersmith and Fulham (Electoral Changes) Order 2000</t>
  </si>
  <si>
    <t>HARINGEY LONDON BOROUGH  *</t>
  </si>
  <si>
    <t>Tottenham BC</t>
  </si>
  <si>
    <t>E05000266</t>
  </si>
  <si>
    <t>Bounds Green</t>
  </si>
  <si>
    <t>E05000267</t>
  </si>
  <si>
    <t>Bruce Grove</t>
  </si>
  <si>
    <t>E05000268</t>
  </si>
  <si>
    <t>Crouch End</t>
  </si>
  <si>
    <t>E05000269</t>
  </si>
  <si>
    <t>Fortis Green</t>
  </si>
  <si>
    <t>E05000270</t>
  </si>
  <si>
    <t>Harringay</t>
  </si>
  <si>
    <t>E05000271</t>
  </si>
  <si>
    <t>E05000272</t>
  </si>
  <si>
    <t>Hornsey</t>
  </si>
  <si>
    <t>E05000273</t>
  </si>
  <si>
    <t>Muswell Hill</t>
  </si>
  <si>
    <t>E05000274</t>
  </si>
  <si>
    <t>Noel Park</t>
  </si>
  <si>
    <t>E05000275</t>
  </si>
  <si>
    <t>Northumberland Park</t>
  </si>
  <si>
    <t>E05000276</t>
  </si>
  <si>
    <t>E05000277</t>
  </si>
  <si>
    <t>Seven Sisters</t>
  </si>
  <si>
    <t>E05000278</t>
  </si>
  <si>
    <t>Stroud Green</t>
  </si>
  <si>
    <t>E05000279</t>
  </si>
  <si>
    <t>Tottenham Green</t>
  </si>
  <si>
    <t>E05000280</t>
  </si>
  <si>
    <t>Tottenham Hale</t>
  </si>
  <si>
    <t>E05000281</t>
  </si>
  <si>
    <t>West Green</t>
  </si>
  <si>
    <t>E05000282</t>
  </si>
  <si>
    <t>White Hart Lane</t>
  </si>
  <si>
    <t>E05000283</t>
  </si>
  <si>
    <t>E05000284</t>
  </si>
  <si>
    <t>* as created by The London Borough of Haringey (Electoral Changes) Order 2000</t>
  </si>
  <si>
    <t>HARROW LONDON BOROUGH  *</t>
  </si>
  <si>
    <t>Harrow and Stanmore BC</t>
  </si>
  <si>
    <t>Ruislip, Northwood and Pinner BC</t>
  </si>
  <si>
    <t>Wembley and Harrow on the Hill</t>
  </si>
  <si>
    <t>E05000285</t>
  </si>
  <si>
    <t>Canons</t>
  </si>
  <si>
    <t>E05000286</t>
  </si>
  <si>
    <t>E05000287</t>
  </si>
  <si>
    <t>E05000288</t>
  </si>
  <si>
    <t>Harrow on the Hill</t>
  </si>
  <si>
    <t>E05000289</t>
  </si>
  <si>
    <t>Harrow Weald</t>
  </si>
  <si>
    <t>E05000290</t>
  </si>
  <si>
    <t>Hatch End</t>
  </si>
  <si>
    <t>E05000291</t>
  </si>
  <si>
    <t>Headstone North</t>
  </si>
  <si>
    <t>E05000292</t>
  </si>
  <si>
    <t>Headstone South</t>
  </si>
  <si>
    <t>E05000293</t>
  </si>
  <si>
    <t>Kenton East</t>
  </si>
  <si>
    <t>E05000294</t>
  </si>
  <si>
    <t>Kenton West</t>
  </si>
  <si>
    <t>E05000295</t>
  </si>
  <si>
    <t>Marlborough</t>
  </si>
  <si>
    <t>E05000296</t>
  </si>
  <si>
    <t>Pinner</t>
  </si>
  <si>
    <t>E05000297</t>
  </si>
  <si>
    <t>Pinner South</t>
  </si>
  <si>
    <t>E05000298</t>
  </si>
  <si>
    <t>E05000299</t>
  </si>
  <si>
    <t>Rayners Lane</t>
  </si>
  <si>
    <t>E05000300</t>
  </si>
  <si>
    <t>Roxbourne</t>
  </si>
  <si>
    <t>E05000301</t>
  </si>
  <si>
    <t>Roxeth</t>
  </si>
  <si>
    <t>E05000302</t>
  </si>
  <si>
    <t>Stanmore Park</t>
  </si>
  <si>
    <t>E05000303</t>
  </si>
  <si>
    <t>Wealdstone</t>
  </si>
  <si>
    <t>E05000304</t>
  </si>
  <si>
    <t>West Harrow</t>
  </si>
  <si>
    <t>E05000305</t>
  </si>
  <si>
    <t>* as created by The London Borough of Harrow (Electoral Changes) Order 2000</t>
  </si>
  <si>
    <t>HAVERING LONDON BOROUGH  *</t>
  </si>
  <si>
    <t>Hornchurch and Upminster BC</t>
  </si>
  <si>
    <t>Brooklands</t>
  </si>
  <si>
    <t>E05000306</t>
  </si>
  <si>
    <t>Cranham</t>
  </si>
  <si>
    <t>E05000307</t>
  </si>
  <si>
    <t>Elm Park</t>
  </si>
  <si>
    <t>E05000308</t>
  </si>
  <si>
    <t>Emerson Park</t>
  </si>
  <si>
    <t>E05000309</t>
  </si>
  <si>
    <t>Gooshays</t>
  </si>
  <si>
    <t>E05000310</t>
  </si>
  <si>
    <t>Hacton</t>
  </si>
  <si>
    <t>E05000311</t>
  </si>
  <si>
    <t>Harold Wood</t>
  </si>
  <si>
    <t>E05000312</t>
  </si>
  <si>
    <t>Havering Park</t>
  </si>
  <si>
    <t>E05000313</t>
  </si>
  <si>
    <t>Heaton</t>
  </si>
  <si>
    <t>E05000314</t>
  </si>
  <si>
    <t>Hylands</t>
  </si>
  <si>
    <t>E05000315</t>
  </si>
  <si>
    <t>Mawneys</t>
  </si>
  <si>
    <t>E05000316</t>
  </si>
  <si>
    <t>Pettits</t>
  </si>
  <si>
    <t>E05000317</t>
  </si>
  <si>
    <t>Rainham and Wennington</t>
  </si>
  <si>
    <t>E05000318</t>
  </si>
  <si>
    <t>Romford Town</t>
  </si>
  <si>
    <t>E05000319</t>
  </si>
  <si>
    <t>E05000320</t>
  </si>
  <si>
    <t>South Hornchurch</t>
  </si>
  <si>
    <t>E05000321</t>
  </si>
  <si>
    <t>Squirrel's Heath</t>
  </si>
  <si>
    <t>E05000322</t>
  </si>
  <si>
    <t>Upminster</t>
  </si>
  <si>
    <t>E05000323</t>
  </si>
  <si>
    <t>* as created by The London Borough of Havering (Electoral Changes) Order 2000</t>
  </si>
  <si>
    <t>HILLINGDON LONDON BOROUGH  *</t>
  </si>
  <si>
    <t>Hayes and Harlington BC</t>
  </si>
  <si>
    <t>E05000324</t>
  </si>
  <si>
    <t>Botwell</t>
  </si>
  <si>
    <t>E05000325</t>
  </si>
  <si>
    <t>Brunel</t>
  </si>
  <si>
    <t>E05000326</t>
  </si>
  <si>
    <t>E05000327</t>
  </si>
  <si>
    <t>Charville</t>
  </si>
  <si>
    <t>E05000328</t>
  </si>
  <si>
    <t>Eastcote and East Ruislip</t>
  </si>
  <si>
    <t>E05000329</t>
  </si>
  <si>
    <t>Harefield</t>
  </si>
  <si>
    <t>E05000330</t>
  </si>
  <si>
    <t>Heathrow Villages</t>
  </si>
  <si>
    <t>E05000331</t>
  </si>
  <si>
    <t>Hillingdon East</t>
  </si>
  <si>
    <t>E05000332</t>
  </si>
  <si>
    <t>Ickenham</t>
  </si>
  <si>
    <t>E05000333</t>
  </si>
  <si>
    <t>E05000334</t>
  </si>
  <si>
    <t>Northwood</t>
  </si>
  <si>
    <t>E05000335</t>
  </si>
  <si>
    <t>Northwood Hills</t>
  </si>
  <si>
    <t>E05000336</t>
  </si>
  <si>
    <t>Pinkwell</t>
  </si>
  <si>
    <t>E05000337</t>
  </si>
  <si>
    <t>South Ruislip</t>
  </si>
  <si>
    <t>E05000338</t>
  </si>
  <si>
    <t>Townfield</t>
  </si>
  <si>
    <t>E05000339</t>
  </si>
  <si>
    <t>Uxbridge North</t>
  </si>
  <si>
    <t>E05000340</t>
  </si>
  <si>
    <t>Uxbridge South</t>
  </si>
  <si>
    <t>E05000341</t>
  </si>
  <si>
    <t>West Drayton</t>
  </si>
  <si>
    <t>E05000342</t>
  </si>
  <si>
    <t>West Ruislip</t>
  </si>
  <si>
    <t>E05000343</t>
  </si>
  <si>
    <t>Yeading</t>
  </si>
  <si>
    <t>E05000344</t>
  </si>
  <si>
    <t>Yiewsley</t>
  </si>
  <si>
    <t>E05000345</t>
  </si>
  <si>
    <t>* as created by The London Borough of Hillingdon (Electoral Changes) Order 2000</t>
  </si>
  <si>
    <t>HOUNSLOW LONDON BOROUGH  *</t>
  </si>
  <si>
    <t>Feltham and Hounslow BC</t>
  </si>
  <si>
    <t>Bedfont</t>
  </si>
  <si>
    <t>E05000346</t>
  </si>
  <si>
    <t>Brentford</t>
  </si>
  <si>
    <t>E05000347</t>
  </si>
  <si>
    <t>Chiswick Homefields</t>
  </si>
  <si>
    <t>E05000348</t>
  </si>
  <si>
    <t>Chiswick Riverside</t>
  </si>
  <si>
    <t>E05000349</t>
  </si>
  <si>
    <t>Cranford</t>
  </si>
  <si>
    <t>E05000350</t>
  </si>
  <si>
    <t>Feltham North</t>
  </si>
  <si>
    <t>E05000351</t>
  </si>
  <si>
    <t>Feltham West</t>
  </si>
  <si>
    <t>E05000352</t>
  </si>
  <si>
    <t>Hanworth</t>
  </si>
  <si>
    <t>E05000353</t>
  </si>
  <si>
    <t>Hanworth Park</t>
  </si>
  <si>
    <t>E05000354</t>
  </si>
  <si>
    <t>Heston Central</t>
  </si>
  <si>
    <t>E05000355</t>
  </si>
  <si>
    <t>Heston East</t>
  </si>
  <si>
    <t>E05000356</t>
  </si>
  <si>
    <t>Heston West</t>
  </si>
  <si>
    <t>E05000357</t>
  </si>
  <si>
    <t>Hounslow Central</t>
  </si>
  <si>
    <t>E05000358</t>
  </si>
  <si>
    <t>Hounslow Heath</t>
  </si>
  <si>
    <t>E05000359</t>
  </si>
  <si>
    <t>Hounslow South</t>
  </si>
  <si>
    <t>E05000360</t>
  </si>
  <si>
    <t>Hounslow West</t>
  </si>
  <si>
    <t>E05000361</t>
  </si>
  <si>
    <t>Isleworth</t>
  </si>
  <si>
    <t>E05000362</t>
  </si>
  <si>
    <t>Osterley and Spring Grove</t>
  </si>
  <si>
    <t>E05000363</t>
  </si>
  <si>
    <t>Syon</t>
  </si>
  <si>
    <t>E05000364</t>
  </si>
  <si>
    <t>Turnham Green</t>
  </si>
  <si>
    <t>E05000365</t>
  </si>
  <si>
    <t>* as created by The London Borough of Hounslow (Electoral Changes) Order 2000</t>
  </si>
  <si>
    <t>ISLINGTON LONDON BOROUGH  *</t>
  </si>
  <si>
    <t>Islington BC</t>
  </si>
  <si>
    <t>Barnsbury</t>
  </si>
  <si>
    <t>E05000366</t>
  </si>
  <si>
    <t>Bunhill</t>
  </si>
  <si>
    <t>E05000367</t>
  </si>
  <si>
    <t>Caledonian</t>
  </si>
  <si>
    <t>E05000368</t>
  </si>
  <si>
    <t>Canonbury</t>
  </si>
  <si>
    <t>E05000369</t>
  </si>
  <si>
    <t>Clerkenwell</t>
  </si>
  <si>
    <t>E05000370</t>
  </si>
  <si>
    <t>Finsbury Park</t>
  </si>
  <si>
    <t>E05000371</t>
  </si>
  <si>
    <t>Highbury East</t>
  </si>
  <si>
    <t>E05000372</t>
  </si>
  <si>
    <t>Highbury West</t>
  </si>
  <si>
    <t>E05000373</t>
  </si>
  <si>
    <t>Hillrise</t>
  </si>
  <si>
    <t>E05000374</t>
  </si>
  <si>
    <t>Holloway</t>
  </si>
  <si>
    <t>E05000375</t>
  </si>
  <si>
    <t>Junction</t>
  </si>
  <si>
    <t>E05000376</t>
  </si>
  <si>
    <t>Mildmay</t>
  </si>
  <si>
    <t>E05000377</t>
  </si>
  <si>
    <t>E05000378</t>
  </si>
  <si>
    <t>E05000379</t>
  </si>
  <si>
    <t>E05000380</t>
  </si>
  <si>
    <t>Tollington</t>
  </si>
  <si>
    <t>E05000381</t>
  </si>
  <si>
    <t>* as created by The London Borough of Islington (Electoral Changes) Order 2000</t>
  </si>
  <si>
    <t>KENSINGTON AND CHELSEA LONDON BOROUGH *</t>
  </si>
  <si>
    <t>Kensington and Chelsea BC</t>
  </si>
  <si>
    <t>Abingdon</t>
  </si>
  <si>
    <t>E05009388</t>
  </si>
  <si>
    <t>Brompton &amp; Hans Town</t>
  </si>
  <si>
    <t>E05009389</t>
  </si>
  <si>
    <t>Campden</t>
  </si>
  <si>
    <t>E05009390</t>
  </si>
  <si>
    <t>Chelsea Riverside</t>
  </si>
  <si>
    <t>E05009391</t>
  </si>
  <si>
    <t>Colville</t>
  </si>
  <si>
    <t>E05009392</t>
  </si>
  <si>
    <t>Courtfield</t>
  </si>
  <si>
    <t>E05009393</t>
  </si>
  <si>
    <t>Dalgarno</t>
  </si>
  <si>
    <t>E05009394</t>
  </si>
  <si>
    <t>Earl's Court</t>
  </si>
  <si>
    <t>E05009395</t>
  </si>
  <si>
    <t>Golborne</t>
  </si>
  <si>
    <t>E05009396</t>
  </si>
  <si>
    <t>Holland</t>
  </si>
  <si>
    <t>E05009397</t>
  </si>
  <si>
    <t>Norland</t>
  </si>
  <si>
    <t>E05009398</t>
  </si>
  <si>
    <t>Notting Dale</t>
  </si>
  <si>
    <t>E05009399</t>
  </si>
  <si>
    <t>Pembridge</t>
  </si>
  <si>
    <t>E05009400</t>
  </si>
  <si>
    <t>Queen's Gate</t>
  </si>
  <si>
    <t>E05009401</t>
  </si>
  <si>
    <t>Redcliffe</t>
  </si>
  <si>
    <t>E05009402</t>
  </si>
  <si>
    <t>Royal Hospital</t>
  </si>
  <si>
    <t>E05009403</t>
  </si>
  <si>
    <t>E05009404</t>
  </si>
  <si>
    <t>E05009405</t>
  </si>
  <si>
    <t>* as created by The Kensington and Chelsea (Electoral Changes) Order 2014</t>
  </si>
  <si>
    <t>KINGSTON UPON THAMES LONDON BOROUGH  *</t>
  </si>
  <si>
    <t>Kingston and Surbiton BC</t>
  </si>
  <si>
    <t>Kingston upon Thames (pt)</t>
  </si>
  <si>
    <t>Richmond Park BC</t>
  </si>
  <si>
    <t>Richmond upon Thames (pt)</t>
  </si>
  <si>
    <t>Twickenham BC</t>
  </si>
  <si>
    <t>E05000400</t>
  </si>
  <si>
    <t>Berrylands</t>
  </si>
  <si>
    <t>E05000401</t>
  </si>
  <si>
    <t>Beverley</t>
  </si>
  <si>
    <t>E05000402</t>
  </si>
  <si>
    <t>Canbury</t>
  </si>
  <si>
    <t>E05000403</t>
  </si>
  <si>
    <t>Chessington North and Hook</t>
  </si>
  <si>
    <t>E05000404</t>
  </si>
  <si>
    <t>Chessington South</t>
  </si>
  <si>
    <t>E05000405</t>
  </si>
  <si>
    <t>E05000406</t>
  </si>
  <si>
    <t>Coombe Vale</t>
  </si>
  <si>
    <t>E05000407</t>
  </si>
  <si>
    <t>Grove</t>
  </si>
  <si>
    <t>E05000408</t>
  </si>
  <si>
    <t>Norbiton</t>
  </si>
  <si>
    <t>E05000409</t>
  </si>
  <si>
    <t>Old Malden</t>
  </si>
  <si>
    <t>E05000410</t>
  </si>
  <si>
    <t>E05000411</t>
  </si>
  <si>
    <t>E05000412</t>
  </si>
  <si>
    <t>Surbiton Hill</t>
  </si>
  <si>
    <t>E05000413</t>
  </si>
  <si>
    <t>Tolworth and Hook Rise</t>
  </si>
  <si>
    <t>E05000414</t>
  </si>
  <si>
    <t>E05000415</t>
  </si>
  <si>
    <t>* as created by The Royal Borough of Kingston upon Thames (Electoral Changes) Order 2000</t>
  </si>
  <si>
    <t># paired with the London Borough of Richmond upon Thames</t>
  </si>
  <si>
    <t>LAMBETH LONDON BOROUGH  *</t>
  </si>
  <si>
    <t>Battersea BC</t>
  </si>
  <si>
    <t>Wandsworth (pt)</t>
  </si>
  <si>
    <t>Bermondsey and Old Southwark BC</t>
  </si>
  <si>
    <t>Southwark (pt)</t>
  </si>
  <si>
    <t>Camberwell and Vauxhall Bridge BC</t>
  </si>
  <si>
    <t>Clapham North and Stockwell BC</t>
  </si>
  <si>
    <t>Dulwich and West Norwood BC</t>
  </si>
  <si>
    <t>Bishop's</t>
  </si>
  <si>
    <t>E05000416</t>
  </si>
  <si>
    <t>Brixton Hill</t>
  </si>
  <si>
    <t>E05000417</t>
  </si>
  <si>
    <t>Clapham Common</t>
  </si>
  <si>
    <t>E05000418</t>
  </si>
  <si>
    <t>Clapham Town</t>
  </si>
  <si>
    <t>E05000419</t>
  </si>
  <si>
    <t>Coldharbour</t>
  </si>
  <si>
    <t>E05000420</t>
  </si>
  <si>
    <t>Ferndale</t>
  </si>
  <si>
    <t>E05000421</t>
  </si>
  <si>
    <t>Gipsy Hill</t>
  </si>
  <si>
    <t>E05000422</t>
  </si>
  <si>
    <t>Herne Hill</t>
  </si>
  <si>
    <t>E05000423</t>
  </si>
  <si>
    <t>Knight's Hill</t>
  </si>
  <si>
    <t>E05000424</t>
  </si>
  <si>
    <t>Larkhall</t>
  </si>
  <si>
    <t>E05000425</t>
  </si>
  <si>
    <t>Oval</t>
  </si>
  <si>
    <t>E05000426</t>
  </si>
  <si>
    <t>Prince's</t>
  </si>
  <si>
    <t>E05000427</t>
  </si>
  <si>
    <t>E05000428</t>
  </si>
  <si>
    <t>Stockwell</t>
  </si>
  <si>
    <t>E05000429</t>
  </si>
  <si>
    <t>Streatham Hill</t>
  </si>
  <si>
    <t>E05000430</t>
  </si>
  <si>
    <t>Streatham South</t>
  </si>
  <si>
    <t>E05000431</t>
  </si>
  <si>
    <t>Streatham Wells</t>
  </si>
  <si>
    <t>E05000432</t>
  </si>
  <si>
    <t>Thornton</t>
  </si>
  <si>
    <t>E05000433</t>
  </si>
  <si>
    <t>Thurlow Park</t>
  </si>
  <si>
    <t>E05000434</t>
  </si>
  <si>
    <t>Tulse Hill</t>
  </si>
  <si>
    <t>E05000435</t>
  </si>
  <si>
    <t>Vassall</t>
  </si>
  <si>
    <t>E05000436</t>
  </si>
  <si>
    <t>* as created by The London Borough of Lambeth (Electoral Changes) Order 2000</t>
  </si>
  <si>
    <t>LEWISHAM LONDON BOROUGH  *</t>
  </si>
  <si>
    <t>Lewisham and Catford BC</t>
  </si>
  <si>
    <t>Peckham and Lewisham West BC</t>
  </si>
  <si>
    <t>E05000437</t>
  </si>
  <si>
    <t>E05000438</t>
  </si>
  <si>
    <t>Brockley</t>
  </si>
  <si>
    <t>E05000439</t>
  </si>
  <si>
    <t>Catford South</t>
  </si>
  <si>
    <t>E05000440</t>
  </si>
  <si>
    <t>Crofton Park</t>
  </si>
  <si>
    <t>E05000441</t>
  </si>
  <si>
    <t>Downham</t>
  </si>
  <si>
    <t>E05000442</t>
  </si>
  <si>
    <t>Evelyn</t>
  </si>
  <si>
    <t>E05000443</t>
  </si>
  <si>
    <t>Forest Hill</t>
  </si>
  <si>
    <t>E05000444</t>
  </si>
  <si>
    <t>Grove Park</t>
  </si>
  <si>
    <t>E05000445</t>
  </si>
  <si>
    <t>Ladywell</t>
  </si>
  <si>
    <t>E05000446</t>
  </si>
  <si>
    <t>Lee Green</t>
  </si>
  <si>
    <t>E05000447</t>
  </si>
  <si>
    <t>Lewisham Central</t>
  </si>
  <si>
    <t>E05000448</t>
  </si>
  <si>
    <t>New Cross</t>
  </si>
  <si>
    <t>E05000449</t>
  </si>
  <si>
    <t>Perry Vale</t>
  </si>
  <si>
    <t>E05000450</t>
  </si>
  <si>
    <t>Rushey Green</t>
  </si>
  <si>
    <t>E05000451</t>
  </si>
  <si>
    <t>E05000452</t>
  </si>
  <si>
    <t>Telegraph Hill</t>
  </si>
  <si>
    <t>E05000453</t>
  </si>
  <si>
    <t>Whitefoot</t>
  </si>
  <si>
    <t>E05000454</t>
  </si>
  <si>
    <t>* as created by The London Borough of Lewisham (Electoral Changes) Order 2000</t>
  </si>
  <si>
    <t># paired with the London Borough of Bromley</t>
  </si>
  <si>
    <t>MERTON LONDON BOROUGH  *</t>
  </si>
  <si>
    <t>Merton and Wimbledon Central BC</t>
  </si>
  <si>
    <t>Sutton and Cheam BC</t>
  </si>
  <si>
    <t>Sutton (pt)</t>
  </si>
  <si>
    <t>Tooting BC</t>
  </si>
  <si>
    <t>Wimbledon Common and Putney BC</t>
  </si>
  <si>
    <t>E05000455</t>
  </si>
  <si>
    <t>Cannon Hill</t>
  </si>
  <si>
    <t>E05000456</t>
  </si>
  <si>
    <t>Colliers Wood</t>
  </si>
  <si>
    <t>E05000457</t>
  </si>
  <si>
    <t>Cricket Green</t>
  </si>
  <si>
    <t>E05000458</t>
  </si>
  <si>
    <t>Dundonald</t>
  </si>
  <si>
    <t>E05000459</t>
  </si>
  <si>
    <t>Figge's Marsh</t>
  </si>
  <si>
    <t>E05000460</t>
  </si>
  <si>
    <t>Graveney</t>
  </si>
  <si>
    <t>E05000461</t>
  </si>
  <si>
    <t>Hillside</t>
  </si>
  <si>
    <t>E05000462</t>
  </si>
  <si>
    <t>Lavender Fields</t>
  </si>
  <si>
    <t>E05000463</t>
  </si>
  <si>
    <t>Longthornton</t>
  </si>
  <si>
    <t>E05000464</t>
  </si>
  <si>
    <t>Lower Morden</t>
  </si>
  <si>
    <t>E05000465</t>
  </si>
  <si>
    <t>Merton Park</t>
  </si>
  <si>
    <t>E05000466</t>
  </si>
  <si>
    <t>Pollards Hill</t>
  </si>
  <si>
    <t>E05000467</t>
  </si>
  <si>
    <t>Ravensbury</t>
  </si>
  <si>
    <t>E05000468</t>
  </si>
  <si>
    <t>Raynes Park</t>
  </si>
  <si>
    <t>E05000469</t>
  </si>
  <si>
    <t>St Helier</t>
  </si>
  <si>
    <t>E05000470</t>
  </si>
  <si>
    <t>E05000471</t>
  </si>
  <si>
    <t>E05000472</t>
  </si>
  <si>
    <t>West Barnes</t>
  </si>
  <si>
    <t>E05000473</t>
  </si>
  <si>
    <t>Wimbledon Park</t>
  </si>
  <si>
    <t>E05000474</t>
  </si>
  <si>
    <t>* as created by The London Borough of Merton (Electoral Changes) Order 2000</t>
  </si>
  <si>
    <t>NEWHAM LONDON BOROUGH  *</t>
  </si>
  <si>
    <t>Bow and Canning Town BC</t>
  </si>
  <si>
    <t>Newham (pt)</t>
  </si>
  <si>
    <t>East Ham BC</t>
  </si>
  <si>
    <t>Forest Gate and Loxford BC</t>
  </si>
  <si>
    <t>Beckton</t>
  </si>
  <si>
    <t>E05000475</t>
  </si>
  <si>
    <t>Boleyn</t>
  </si>
  <si>
    <t>E05000476</t>
  </si>
  <si>
    <t>Canning Town North</t>
  </si>
  <si>
    <t>E05000477</t>
  </si>
  <si>
    <t>Canning Town South</t>
  </si>
  <si>
    <t>E05000478</t>
  </si>
  <si>
    <t>Custom House</t>
  </si>
  <si>
    <t>E05000479</t>
  </si>
  <si>
    <t>East Ham Central</t>
  </si>
  <si>
    <t>E05000480</t>
  </si>
  <si>
    <t>East Ham North</t>
  </si>
  <si>
    <t>E05000481</t>
  </si>
  <si>
    <t>East Ham South</t>
  </si>
  <si>
    <t>E05000482</t>
  </si>
  <si>
    <t>Forest Gate North</t>
  </si>
  <si>
    <t>E05000483</t>
  </si>
  <si>
    <t>Forest Gate South</t>
  </si>
  <si>
    <t>E05000484</t>
  </si>
  <si>
    <t>Green Street East</t>
  </si>
  <si>
    <t>E05000485</t>
  </si>
  <si>
    <t>Green Street West</t>
  </si>
  <si>
    <t>E05000486</t>
  </si>
  <si>
    <t>Little Ilford</t>
  </si>
  <si>
    <t>E05000487</t>
  </si>
  <si>
    <t>Manor Park</t>
  </si>
  <si>
    <t>E05000488</t>
  </si>
  <si>
    <t>Plaistow North</t>
  </si>
  <si>
    <t>E05000489</t>
  </si>
  <si>
    <t>Plaistow South</t>
  </si>
  <si>
    <t>E05000490</t>
  </si>
  <si>
    <t>Royal Docks</t>
  </si>
  <si>
    <t>E05000491</t>
  </si>
  <si>
    <t>Stratford and New Town</t>
  </si>
  <si>
    <t>E05000492</t>
  </si>
  <si>
    <t>Wall End</t>
  </si>
  <si>
    <t>E05000493</t>
  </si>
  <si>
    <t>West Ham</t>
  </si>
  <si>
    <t>E05000494</t>
  </si>
  <si>
    <t>* as created by The London Borough of Newham (Electoral Changes) Order 2000</t>
  </si>
  <si>
    <t>REDBRIDGE LONDON BOROUGH  *</t>
  </si>
  <si>
    <t xml:space="preserve">Chingford and Woodford Green BC </t>
  </si>
  <si>
    <t>Waltham Forest (pt)</t>
  </si>
  <si>
    <t>Ilford North BC</t>
  </si>
  <si>
    <t xml:space="preserve">Leytonstone and Wanstead BC </t>
  </si>
  <si>
    <t>Aldborough</t>
  </si>
  <si>
    <t>E05000495</t>
  </si>
  <si>
    <t>Barkingside</t>
  </si>
  <si>
    <t>E05000496</t>
  </si>
  <si>
    <t>E05000497</t>
  </si>
  <si>
    <t>Chadwell</t>
  </si>
  <si>
    <t>E05000498</t>
  </si>
  <si>
    <t>Church End</t>
  </si>
  <si>
    <t>E05000499</t>
  </si>
  <si>
    <t>Clayhall</t>
  </si>
  <si>
    <t>E05000500</t>
  </si>
  <si>
    <t>Clementswood</t>
  </si>
  <si>
    <t>E05000501</t>
  </si>
  <si>
    <t>Cranbrook</t>
  </si>
  <si>
    <t>E05000502</t>
  </si>
  <si>
    <t>Fairlop</t>
  </si>
  <si>
    <t>E05000503</t>
  </si>
  <si>
    <t>Fullwell</t>
  </si>
  <si>
    <t>E05000504</t>
  </si>
  <si>
    <t>Goodmayes</t>
  </si>
  <si>
    <t>E05000505</t>
  </si>
  <si>
    <t>Hainault</t>
  </si>
  <si>
    <t>E05000506</t>
  </si>
  <si>
    <t>Loxford</t>
  </si>
  <si>
    <t>E05000507</t>
  </si>
  <si>
    <t>Mayfield</t>
  </si>
  <si>
    <t>E05000508</t>
  </si>
  <si>
    <t>Monkhams</t>
  </si>
  <si>
    <t>E05000509</t>
  </si>
  <si>
    <t>Newbury</t>
  </si>
  <si>
    <t>E05000510</t>
  </si>
  <si>
    <t>Roding</t>
  </si>
  <si>
    <t>E05000511</t>
  </si>
  <si>
    <t>Seven Kings</t>
  </si>
  <si>
    <t>E05000512</t>
  </si>
  <si>
    <t>Snaresbrook</t>
  </si>
  <si>
    <t>E05000513</t>
  </si>
  <si>
    <t>Valentines</t>
  </si>
  <si>
    <t>E05000514</t>
  </si>
  <si>
    <t>Wanstead</t>
  </si>
  <si>
    <t>E05000515</t>
  </si>
  <si>
    <t>* as created by The London Borough of Redbridge (Electoral Changes) Order 2000</t>
  </si>
  <si>
    <t>RICHMOND UPON THAMES LONDON BOROUGH *</t>
  </si>
  <si>
    <t>E05000516</t>
  </si>
  <si>
    <t>East Sheen</t>
  </si>
  <si>
    <t>E05000517</t>
  </si>
  <si>
    <t>Fulwell and Hampton Hill</t>
  </si>
  <si>
    <t>E05000518</t>
  </si>
  <si>
    <t>Ham, Petersham and Richmond Riverside</t>
  </si>
  <si>
    <t>E05000519</t>
  </si>
  <si>
    <t>E05000520</t>
  </si>
  <si>
    <t>Hampton North</t>
  </si>
  <si>
    <t>E05000521</t>
  </si>
  <si>
    <t>Hampton Wick</t>
  </si>
  <si>
    <t>E05000522</t>
  </si>
  <si>
    <t>E05000523</t>
  </si>
  <si>
    <t>Kew</t>
  </si>
  <si>
    <t>E05000524</t>
  </si>
  <si>
    <t>Mortlake and Barnes Common</t>
  </si>
  <si>
    <t>E05000525</t>
  </si>
  <si>
    <t>North Richmond</t>
  </si>
  <si>
    <t>E05000526</t>
  </si>
  <si>
    <t>St Margarets and North Twickenham</t>
  </si>
  <si>
    <t>E05000527</t>
  </si>
  <si>
    <t>South Richmond</t>
  </si>
  <si>
    <t>E05000528</t>
  </si>
  <si>
    <t>South Twickenham</t>
  </si>
  <si>
    <t>E05000529</t>
  </si>
  <si>
    <t>Teddington</t>
  </si>
  <si>
    <t>E05000530</t>
  </si>
  <si>
    <t>Twickenham Riverside</t>
  </si>
  <si>
    <t>E05000531</t>
  </si>
  <si>
    <t>West Twickenham</t>
  </si>
  <si>
    <t>E05000532</t>
  </si>
  <si>
    <t>E05000533</t>
  </si>
  <si>
    <t>* as created by The London Borough of Richmond upon Thames (Electoral Chages) Order 2000</t>
  </si>
  <si>
    <t># paired with the London Borough of Kingston upon Thames</t>
  </si>
  <si>
    <t>SOUTHWARK LONDON BOROUGH  *</t>
  </si>
  <si>
    <t>E05000534</t>
  </si>
  <si>
    <t>Camberwell Green</t>
  </si>
  <si>
    <t>E05000535</t>
  </si>
  <si>
    <t>Cathedrals</t>
  </si>
  <si>
    <t>E05000536</t>
  </si>
  <si>
    <t>E05000537</t>
  </si>
  <si>
    <t>E05000538</t>
  </si>
  <si>
    <t>East Dulwich</t>
  </si>
  <si>
    <t>E05000539</t>
  </si>
  <si>
    <t>East Walworth</t>
  </si>
  <si>
    <t>E05000540</t>
  </si>
  <si>
    <t>Faraday</t>
  </si>
  <si>
    <t>E05000541</t>
  </si>
  <si>
    <t>E05000542</t>
  </si>
  <si>
    <t>Livesey</t>
  </si>
  <si>
    <t>E05000543</t>
  </si>
  <si>
    <t>Newington</t>
  </si>
  <si>
    <t>E05000544</t>
  </si>
  <si>
    <t>Nunhead</t>
  </si>
  <si>
    <t>E05000545</t>
  </si>
  <si>
    <t>Peckham</t>
  </si>
  <si>
    <t>E05000546</t>
  </si>
  <si>
    <t>Peckham Rye</t>
  </si>
  <si>
    <t>E05000547</t>
  </si>
  <si>
    <t>E05000548</t>
  </si>
  <si>
    <t>Rotherhithe</t>
  </si>
  <si>
    <t>E05000549</t>
  </si>
  <si>
    <t>South Bermondsey</t>
  </si>
  <si>
    <t>E05000550</t>
  </si>
  <si>
    <t>South Camberwell</t>
  </si>
  <si>
    <t>E05000551</t>
  </si>
  <si>
    <t>Surrey Docks</t>
  </si>
  <si>
    <t>E05000552</t>
  </si>
  <si>
    <t>The Lane</t>
  </si>
  <si>
    <t>E05000553</t>
  </si>
  <si>
    <t>E05000554</t>
  </si>
  <si>
    <t>* as created by The London Borough of Southwark (Electoral Changes) Order 2000</t>
  </si>
  <si>
    <t># paired with the London Borough of Lambeth</t>
  </si>
  <si>
    <t>SUTTON LONDON BOROUGH  *</t>
  </si>
  <si>
    <t>Carshalton and Wallington BC</t>
  </si>
  <si>
    <t>Beddington North</t>
  </si>
  <si>
    <t>E05000555</t>
  </si>
  <si>
    <t>Beddington South</t>
  </si>
  <si>
    <t>E05000556</t>
  </si>
  <si>
    <t>E05000557</t>
  </si>
  <si>
    <t>Carshalton Central</t>
  </si>
  <si>
    <t>E05000558</t>
  </si>
  <si>
    <t>Carshalton South and Clockhouse</t>
  </si>
  <si>
    <t>E05000559</t>
  </si>
  <si>
    <t>Cheam</t>
  </si>
  <si>
    <t>E05000560</t>
  </si>
  <si>
    <t>Nonsuch</t>
  </si>
  <si>
    <t>E05000561</t>
  </si>
  <si>
    <t>E05000562</t>
  </si>
  <si>
    <t>Stonecot</t>
  </si>
  <si>
    <t>E05000563</t>
  </si>
  <si>
    <t>Sutton Central</t>
  </si>
  <si>
    <t>E05000564</t>
  </si>
  <si>
    <t>Sutton North</t>
  </si>
  <si>
    <t>E05000565</t>
  </si>
  <si>
    <t>Sutton South</t>
  </si>
  <si>
    <t>E05000566</t>
  </si>
  <si>
    <t>Sutton West</t>
  </si>
  <si>
    <t>E05000567</t>
  </si>
  <si>
    <t>The Wrythe</t>
  </si>
  <si>
    <t>E05000568</t>
  </si>
  <si>
    <t>Wallington North</t>
  </si>
  <si>
    <t>E05000569</t>
  </si>
  <si>
    <t>Wallington South</t>
  </si>
  <si>
    <t>E05000570</t>
  </si>
  <si>
    <t>Wandle Valley</t>
  </si>
  <si>
    <t>E05000571</t>
  </si>
  <si>
    <t>Worcester Park</t>
  </si>
  <si>
    <t>E05000572</t>
  </si>
  <si>
    <t>* as created by The London Borough of Sutton (Electoral Changes) Order 2000</t>
  </si>
  <si>
    <t>TOWER HAMLETS LONDON BOROUGH  *</t>
  </si>
  <si>
    <t>Poplar and Limehouse BC</t>
  </si>
  <si>
    <t>Bethnal Green</t>
  </si>
  <si>
    <t>E05009317</t>
  </si>
  <si>
    <t>Blackwall &amp; Cubitt Town</t>
  </si>
  <si>
    <t>E05009318</t>
  </si>
  <si>
    <t>Bow East</t>
  </si>
  <si>
    <t>E05009319</t>
  </si>
  <si>
    <t>Bow West</t>
  </si>
  <si>
    <t>E05009320</t>
  </si>
  <si>
    <t>Bromley North</t>
  </si>
  <si>
    <t>E05009321</t>
  </si>
  <si>
    <t>Bromley South</t>
  </si>
  <si>
    <t>E05009322</t>
  </si>
  <si>
    <t>Canary Wharf</t>
  </si>
  <si>
    <t>E05009323</t>
  </si>
  <si>
    <t>Island Gardens</t>
  </si>
  <si>
    <t>E05009324</t>
  </si>
  <si>
    <t>Lansbury</t>
  </si>
  <si>
    <t>E05009325</t>
  </si>
  <si>
    <t>Limehouse</t>
  </si>
  <si>
    <t>E05009326</t>
  </si>
  <si>
    <t>E05009327</t>
  </si>
  <si>
    <t>E05009328</t>
  </si>
  <si>
    <t>St Dunstan's</t>
  </si>
  <si>
    <t>E05009329</t>
  </si>
  <si>
    <t>St Katherine's &amp; Wapping</t>
  </si>
  <si>
    <t>E05009330</t>
  </si>
  <si>
    <t>E05009331</t>
  </si>
  <si>
    <t>Shadwell</t>
  </si>
  <si>
    <t>E05009332</t>
  </si>
  <si>
    <t>Spitalfields &amp; Banglatown</t>
  </si>
  <si>
    <t>E05009333</t>
  </si>
  <si>
    <t>Stepney Green</t>
  </si>
  <si>
    <t>E05009334</t>
  </si>
  <si>
    <t>Weavers</t>
  </si>
  <si>
    <t>E05009335</t>
  </si>
  <si>
    <t>Whitechapel</t>
  </si>
  <si>
    <t>E05009336</t>
  </si>
  <si>
    <t>* as created by The Tower Hamlets (Electoral Changes) Order 2013</t>
  </si>
  <si>
    <t>WALTHAM FOREST LONDON BOROUGH  *</t>
  </si>
  <si>
    <t xml:space="preserve">Walthamstow BC </t>
  </si>
  <si>
    <t>Cann Hall</t>
  </si>
  <si>
    <t>E05000590</t>
  </si>
  <si>
    <t>Walthamstow BC</t>
  </si>
  <si>
    <t>Cathall</t>
  </si>
  <si>
    <t>E05000591</t>
  </si>
  <si>
    <t>Chapel End</t>
  </si>
  <si>
    <t>E05000592</t>
  </si>
  <si>
    <t>Chingford Green</t>
  </si>
  <si>
    <t>E05000593</t>
  </si>
  <si>
    <t>Endlebury</t>
  </si>
  <si>
    <t>E05000594</t>
  </si>
  <si>
    <t>E05000595</t>
  </si>
  <si>
    <t>Grove Green</t>
  </si>
  <si>
    <t>E05000596</t>
  </si>
  <si>
    <t>Hale End and Highams Park</t>
  </si>
  <si>
    <t>E05000597</t>
  </si>
  <si>
    <t>Hatch Lane</t>
  </si>
  <si>
    <t>E05000598</t>
  </si>
  <si>
    <t>Higham Hill</t>
  </si>
  <si>
    <t>E05000600</t>
  </si>
  <si>
    <t>High Street</t>
  </si>
  <si>
    <t>E05000599</t>
  </si>
  <si>
    <t>Hoe Street</t>
  </si>
  <si>
    <t>E05000601</t>
  </si>
  <si>
    <t>Larkswood</t>
  </si>
  <si>
    <t>E05000602</t>
  </si>
  <si>
    <t>E05000603</t>
  </si>
  <si>
    <t>Leyton</t>
  </si>
  <si>
    <t>E05000604</t>
  </si>
  <si>
    <t>Leytonstone</t>
  </si>
  <si>
    <t>E05000605</t>
  </si>
  <si>
    <t>Markhouse</t>
  </si>
  <si>
    <t>E05000606</t>
  </si>
  <si>
    <t>E05000607</t>
  </si>
  <si>
    <t>William Morris</t>
  </si>
  <si>
    <t>E05000608</t>
  </si>
  <si>
    <t>Wood Street</t>
  </si>
  <si>
    <t>E05000609</t>
  </si>
  <si>
    <t>* as created by The London Borough of Waltham Forest (Electoral Changes) Order 2000</t>
  </si>
  <si>
    <t>WANDSWORTH LONDON BOROUGH  *</t>
  </si>
  <si>
    <t>Balham</t>
  </si>
  <si>
    <t>E05000610</t>
  </si>
  <si>
    <t>Bedford</t>
  </si>
  <si>
    <t>E05000611</t>
  </si>
  <si>
    <t>Earlsfield</t>
  </si>
  <si>
    <t>E05000612</t>
  </si>
  <si>
    <t>East Putney</t>
  </si>
  <si>
    <t>E05000613</t>
  </si>
  <si>
    <t>E05000614</t>
  </si>
  <si>
    <t>Furzedown</t>
  </si>
  <si>
    <t>E05000615</t>
  </si>
  <si>
    <t>E05000616</t>
  </si>
  <si>
    <t>Latchmere</t>
  </si>
  <si>
    <t>E05000617</t>
  </si>
  <si>
    <t>Nightingale</t>
  </si>
  <si>
    <t>E05000618</t>
  </si>
  <si>
    <t>Northcote</t>
  </si>
  <si>
    <t>E05000619</t>
  </si>
  <si>
    <t>Queenstown</t>
  </si>
  <si>
    <t>E05000620</t>
  </si>
  <si>
    <t>Roehampton and Putney Heath</t>
  </si>
  <si>
    <t>E05000621</t>
  </si>
  <si>
    <t>St Mary's Park</t>
  </si>
  <si>
    <t>E05000622</t>
  </si>
  <si>
    <t>Shaftesbury</t>
  </si>
  <si>
    <t>E05000623</t>
  </si>
  <si>
    <t>Southfields</t>
  </si>
  <si>
    <t>E05000624</t>
  </si>
  <si>
    <t>Thamesfield</t>
  </si>
  <si>
    <t>E05000625</t>
  </si>
  <si>
    <t>Tooting</t>
  </si>
  <si>
    <t>E05000626</t>
  </si>
  <si>
    <t>Wandsworth Common</t>
  </si>
  <si>
    <t>E05000627</t>
  </si>
  <si>
    <t>West Hill</t>
  </si>
  <si>
    <t>E05000628</t>
  </si>
  <si>
    <t>West Putney</t>
  </si>
  <si>
    <t>E05000629</t>
  </si>
  <si>
    <t>* as created by The London Borough of Wandsworth (Electoral Changes) Order 2000</t>
  </si>
  <si>
    <t>CITY OF WESTMINSTER  *</t>
  </si>
  <si>
    <t>Abbey Road</t>
  </si>
  <si>
    <t>E05000630</t>
  </si>
  <si>
    <t>Bayswater</t>
  </si>
  <si>
    <t>E05000631</t>
  </si>
  <si>
    <t>Bryanston and Dorset Square</t>
  </si>
  <si>
    <t>E05000632</t>
  </si>
  <si>
    <t>Churchill</t>
  </si>
  <si>
    <t>E05000633</t>
  </si>
  <si>
    <t>Church Street</t>
  </si>
  <si>
    <t>E05000634</t>
  </si>
  <si>
    <t>Harrow Road</t>
  </si>
  <si>
    <t>E05000635</t>
  </si>
  <si>
    <t>Hyde Park</t>
  </si>
  <si>
    <t>E05000636</t>
  </si>
  <si>
    <t>Knightsbridge and Belgravia</t>
  </si>
  <si>
    <t>E05000637</t>
  </si>
  <si>
    <t>Lancaster Gate</t>
  </si>
  <si>
    <t>E05000638</t>
  </si>
  <si>
    <t>Little Venice</t>
  </si>
  <si>
    <t>E05000639</t>
  </si>
  <si>
    <t>Maida Vale</t>
  </si>
  <si>
    <t>E05000640</t>
  </si>
  <si>
    <t>Marylebone High Street</t>
  </si>
  <si>
    <t>E05000641</t>
  </si>
  <si>
    <t>E05000642</t>
  </si>
  <si>
    <t>E05000643</t>
  </si>
  <si>
    <t>E05000644</t>
  </si>
  <si>
    <t>Tachbrook</t>
  </si>
  <si>
    <t>E05000645</t>
  </si>
  <si>
    <t>Vincent Square</t>
  </si>
  <si>
    <t>E05000646</t>
  </si>
  <si>
    <t>E05000647</t>
  </si>
  <si>
    <t>Westbourne</t>
  </si>
  <si>
    <t>E05000648</t>
  </si>
  <si>
    <t>West End</t>
  </si>
  <si>
    <t>E05000649</t>
  </si>
  <si>
    <t>* as created by The City of Westminster (Electoral Changes) Order 2000</t>
  </si>
  <si>
    <t>District/County/London Borough</t>
  </si>
  <si>
    <t>East Riding of Yorkshire *</t>
  </si>
  <si>
    <t>Kingston upon Hull *</t>
  </si>
  <si>
    <t>North East Lincolnshire *</t>
  </si>
  <si>
    <t>North Lincolnshire *</t>
  </si>
  <si>
    <t>"HUMBERSIDE" #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</si>
  <si>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</si>
  <si>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</si>
  <si>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</si>
  <si>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</si>
  <si>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</si>
  <si>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</si>
  <si>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</si>
  <si>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 YORKSHIRE</t>
  </si>
  <si>
    <t>York *</t>
  </si>
  <si>
    <t>NORTH YORKSHIRE &amp; YORK</t>
  </si>
  <si>
    <t>Barnsley</t>
  </si>
  <si>
    <t>Doncaster</t>
  </si>
  <si>
    <t>Rotherham</t>
  </si>
  <si>
    <t>Sheffield</t>
  </si>
  <si>
    <t>SOUTH YORKSHIRE</t>
  </si>
  <si>
    <t>Bradford</t>
  </si>
  <si>
    <t>Calderdale</t>
  </si>
  <si>
    <t>Kirklees</t>
  </si>
  <si>
    <t>Leeds</t>
  </si>
  <si>
    <t>Wakefield</t>
  </si>
  <si>
    <t>WEST YORKSHIRE</t>
  </si>
  <si>
    <t>YORKSHIRE AND THE HUMBER REGION</t>
  </si>
  <si>
    <t>EAST RIDING OF YORKSHIRE DISTRICT  *</t>
  </si>
  <si>
    <t>CITY OF KINGSTON UPON HULL *</t>
  </si>
  <si>
    <t>NORTH EAST LINCOLNSHIRE BOROUGH  *</t>
  </si>
  <si>
    <t>NORTH LINCOLNSHIRE BOROUGH  *</t>
  </si>
  <si>
    <t>Beverley and Holderness CC</t>
  </si>
  <si>
    <t>East Riding of Yorkshire (pt)</t>
  </si>
  <si>
    <t>East Yorkshire CC</t>
  </si>
  <si>
    <t>Goole CC</t>
  </si>
  <si>
    <t>North Lincolnshire (pt)</t>
  </si>
  <si>
    <t>Grimsby North and Barton CC</t>
  </si>
  <si>
    <t>North East Lincolnshire (pt)</t>
  </si>
  <si>
    <t>Grimsby South and Cleethorpes BC</t>
  </si>
  <si>
    <t>Kingston upon Hull East BC</t>
  </si>
  <si>
    <t>Kingston upon Hull (pt)</t>
  </si>
  <si>
    <t>Kingston upon Hull Central BC</t>
  </si>
  <si>
    <t>Kingston upon Hull West and Haltemprice BC</t>
  </si>
  <si>
    <t>Scunthorpe CC</t>
  </si>
  <si>
    <t>* as created by The Humberside (Structural Change) Order 1995</t>
  </si>
  <si>
    <t>Beverley Rural</t>
  </si>
  <si>
    <t>E05001687</t>
  </si>
  <si>
    <t>Bridlington Central and Old Town</t>
  </si>
  <si>
    <t>E05001688</t>
  </si>
  <si>
    <t>Bridlington North</t>
  </si>
  <si>
    <t>E05001689</t>
  </si>
  <si>
    <t>Bridlington South</t>
  </si>
  <si>
    <t>E05001690</t>
  </si>
  <si>
    <t>Cottingham North</t>
  </si>
  <si>
    <t>E05001691</t>
  </si>
  <si>
    <t>Cottingham South</t>
  </si>
  <si>
    <t>E05001692</t>
  </si>
  <si>
    <t>Dale</t>
  </si>
  <si>
    <t>E05001693</t>
  </si>
  <si>
    <t>Driffield and Rural</t>
  </si>
  <si>
    <t>E05001694</t>
  </si>
  <si>
    <t>East Wolds and Coastal</t>
  </si>
  <si>
    <t>E05001695</t>
  </si>
  <si>
    <t>Goole North</t>
  </si>
  <si>
    <t>E05001696</t>
  </si>
  <si>
    <t>Goole South</t>
  </si>
  <si>
    <t>E05001697</t>
  </si>
  <si>
    <t>Hessle</t>
  </si>
  <si>
    <t>E05001698</t>
  </si>
  <si>
    <t>Howden</t>
  </si>
  <si>
    <t>E05001699</t>
  </si>
  <si>
    <t>Howdenshire</t>
  </si>
  <si>
    <t>E05001700</t>
  </si>
  <si>
    <t>Mid Holderness</t>
  </si>
  <si>
    <t>E05001701</t>
  </si>
  <si>
    <t>Minster and Woodmansey</t>
  </si>
  <si>
    <t>E05001702</t>
  </si>
  <si>
    <t>North Holderness</t>
  </si>
  <si>
    <t>E05001703</t>
  </si>
  <si>
    <t>Pocklington Provincial</t>
  </si>
  <si>
    <t>E05001704</t>
  </si>
  <si>
    <t>E05001705</t>
  </si>
  <si>
    <t>Snaith, Airmyn, Rawcliffe and Marshland</t>
  </si>
  <si>
    <t>E05001706</t>
  </si>
  <si>
    <t>South East Holderness</t>
  </si>
  <si>
    <t>E05001707</t>
  </si>
  <si>
    <t>South Hunsley</t>
  </si>
  <si>
    <t>E05001708</t>
  </si>
  <si>
    <t>South West Holderness</t>
  </si>
  <si>
    <t>E05001709</t>
  </si>
  <si>
    <t>Tranby</t>
  </si>
  <si>
    <t>E05001710</t>
  </si>
  <si>
    <t>Willerby and Kirk Ella</t>
  </si>
  <si>
    <t>E05001711</t>
  </si>
  <si>
    <t>Wolds Weighton</t>
  </si>
  <si>
    <t>E05001712</t>
  </si>
  <si>
    <t>Goole CC (pt)</t>
  </si>
  <si>
    <t>* as created by The District of East Riding (Electoral Changes) Order 2001</t>
  </si>
  <si>
    <t>CITY OF KINGSTON UPON HULL  *</t>
  </si>
  <si>
    <t>E05001664</t>
  </si>
  <si>
    <t>E05001665</t>
  </si>
  <si>
    <t>Boothferry</t>
  </si>
  <si>
    <t>E05001666</t>
  </si>
  <si>
    <t>Bransholme East</t>
  </si>
  <si>
    <t>E05001667</t>
  </si>
  <si>
    <t>Bransholme West</t>
  </si>
  <si>
    <t>E05001668</t>
  </si>
  <si>
    <t>Bricknell</t>
  </si>
  <si>
    <t>E05001669</t>
  </si>
  <si>
    <t>Derringham</t>
  </si>
  <si>
    <t>E05001670</t>
  </si>
  <si>
    <t>Drypool</t>
  </si>
  <si>
    <t>E05001671</t>
  </si>
  <si>
    <t>Holderness</t>
  </si>
  <si>
    <t>E05001672</t>
  </si>
  <si>
    <t>Ings</t>
  </si>
  <si>
    <t>E05001673</t>
  </si>
  <si>
    <t>Kings Park</t>
  </si>
  <si>
    <t>E05001674</t>
  </si>
  <si>
    <t>Longhill</t>
  </si>
  <si>
    <t>E05001675</t>
  </si>
  <si>
    <t>Marfleet</t>
  </si>
  <si>
    <t>E05001676</t>
  </si>
  <si>
    <t>Myton</t>
  </si>
  <si>
    <t>E05001677</t>
  </si>
  <si>
    <t>E05001678</t>
  </si>
  <si>
    <t>Newland</t>
  </si>
  <si>
    <t>E05001679</t>
  </si>
  <si>
    <t>Orchard Park and Greenwood</t>
  </si>
  <si>
    <t>E05001680</t>
  </si>
  <si>
    <t>Pickering</t>
  </si>
  <si>
    <t>E05001681</t>
  </si>
  <si>
    <t>E05001682</t>
  </si>
  <si>
    <t>Southcoates East</t>
  </si>
  <si>
    <t>E05001683</t>
  </si>
  <si>
    <t>Southcoates West</t>
  </si>
  <si>
    <t>E05001684</t>
  </si>
  <si>
    <t>E05001685</t>
  </si>
  <si>
    <t>E05001686</t>
  </si>
  <si>
    <t>Kingston upon Hull West and Haltemprice BC (pt)</t>
  </si>
  <si>
    <t>* as created by The City of Kingston upon Hull (Electoral Changes) Order 2001</t>
  </si>
  <si>
    <t>Croft Baker</t>
  </si>
  <si>
    <t>E05001713</t>
  </si>
  <si>
    <t>East Marsh</t>
  </si>
  <si>
    <t>E05001714</t>
  </si>
  <si>
    <t>Freshney</t>
  </si>
  <si>
    <t>E05001715</t>
  </si>
  <si>
    <t>Haverstoe</t>
  </si>
  <si>
    <t>E05001716</t>
  </si>
  <si>
    <t>Heneage</t>
  </si>
  <si>
    <t>E05001717</t>
  </si>
  <si>
    <t>Humberston and New Waltham</t>
  </si>
  <si>
    <t>E05001718</t>
  </si>
  <si>
    <t>Immingham</t>
  </si>
  <si>
    <t>E05001719</t>
  </si>
  <si>
    <t>E05001720</t>
  </si>
  <si>
    <t>Scartho</t>
  </si>
  <si>
    <t>E05001721</t>
  </si>
  <si>
    <t>Sidney Sussex</t>
  </si>
  <si>
    <t>E05001722</t>
  </si>
  <si>
    <t>E05001723</t>
  </si>
  <si>
    <t>Waltham</t>
  </si>
  <si>
    <t>E05001724</t>
  </si>
  <si>
    <t>West Marsh</t>
  </si>
  <si>
    <t>E05001725</t>
  </si>
  <si>
    <t>Wolds</t>
  </si>
  <si>
    <t>E05001726</t>
  </si>
  <si>
    <t>Yarborough</t>
  </si>
  <si>
    <t>E05001727</t>
  </si>
  <si>
    <t>Grimsby North and Barton CC (pt)</t>
  </si>
  <si>
    <t>* as created by The Borough of North East Lincolnshire (Electoral Changes) Order 2001</t>
  </si>
  <si>
    <t>Ashby</t>
  </si>
  <si>
    <t>E05001728</t>
  </si>
  <si>
    <t>Axholme Central</t>
  </si>
  <si>
    <t>E05001729</t>
  </si>
  <si>
    <t>Axholme North</t>
  </si>
  <si>
    <t>E05001730</t>
  </si>
  <si>
    <t>Axholme South</t>
  </si>
  <si>
    <t>E05001731</t>
  </si>
  <si>
    <t>E05001732</t>
  </si>
  <si>
    <t>E05001733</t>
  </si>
  <si>
    <t>Brigg and Wolds</t>
  </si>
  <si>
    <t>E05001734</t>
  </si>
  <si>
    <t>Broughton and Appleby</t>
  </si>
  <si>
    <t>E05001735</t>
  </si>
  <si>
    <t>Brumby</t>
  </si>
  <si>
    <t>E05001736</t>
  </si>
  <si>
    <t>Burringham and Gunness</t>
  </si>
  <si>
    <t>E05001737</t>
  </si>
  <si>
    <t>Burton upon Stather and Winterton</t>
  </si>
  <si>
    <t>E05001738</t>
  </si>
  <si>
    <t>Crosby and Park</t>
  </si>
  <si>
    <t>E05001739</t>
  </si>
  <si>
    <t>Ferry</t>
  </si>
  <si>
    <t>E05001740</t>
  </si>
  <si>
    <t>Frodingham</t>
  </si>
  <si>
    <t>E05001741</t>
  </si>
  <si>
    <t>Kingsway with Lincoln Gardens</t>
  </si>
  <si>
    <t>E05001742</t>
  </si>
  <si>
    <t>Ridge</t>
  </si>
  <si>
    <t>E05001743</t>
  </si>
  <si>
    <t>E05001744</t>
  </si>
  <si>
    <t>* as created by The Borough of North Lincolnshire (Electoral Changes) Order 2001</t>
  </si>
  <si>
    <t>NORTH YORKSHIRE  *</t>
  </si>
  <si>
    <t>CITY OF YORK  *</t>
  </si>
  <si>
    <t>CRAVEN DISTRICT</t>
  </si>
  <si>
    <t>HAMBLETON DISTRICT</t>
  </si>
  <si>
    <t>HARROGATE BOROUGH  *</t>
  </si>
  <si>
    <t>RICHMONDSHIRE DISTRICT</t>
  </si>
  <si>
    <t>RYEDALE DISTRICT  *</t>
  </si>
  <si>
    <t>SCARBOROUGH BOROUGH</t>
  </si>
  <si>
    <t>SELBY DISTRICT  *</t>
  </si>
  <si>
    <t>Harrogate and Knaresborough CC</t>
  </si>
  <si>
    <t>Harrogate (pt)</t>
  </si>
  <si>
    <t>Normanton, Castleford and Outwood CC</t>
  </si>
  <si>
    <t>Selby (pt)</t>
  </si>
  <si>
    <t>Wakefield (pt)</t>
  </si>
  <si>
    <t>Pontefract CC</t>
  </si>
  <si>
    <t>Richmond (Yorks) CC</t>
  </si>
  <si>
    <t>Hambleton (pt)</t>
  </si>
  <si>
    <t>Scarborough and Whitby CC</t>
  </si>
  <si>
    <t>Scarborough (pt)</t>
  </si>
  <si>
    <t>Selby and Ainsty CC</t>
  </si>
  <si>
    <t>Skipton and Ripon CC</t>
  </si>
  <si>
    <t>Thirsk and Malton CC</t>
  </si>
  <si>
    <t>York Central BC</t>
  </si>
  <si>
    <t>York (pt)</t>
  </si>
  <si>
    <t>York Outer CC</t>
  </si>
  <si>
    <t>* as created by The North Yorkshire (District of York) (Structural and Boundary Changes) Order 1995</t>
  </si>
  <si>
    <t>Acomb</t>
  </si>
  <si>
    <t>E05010311</t>
  </si>
  <si>
    <t>Bishopthorpe</t>
  </si>
  <si>
    <t>E05010312</t>
  </si>
  <si>
    <t>E05010313</t>
  </si>
  <si>
    <t>Copmanthorpe</t>
  </si>
  <si>
    <t>E05010314</t>
  </si>
  <si>
    <t>Dringhouses &amp; Woodthorpe</t>
  </si>
  <si>
    <t>E05010315</t>
  </si>
  <si>
    <t>Fishergate</t>
  </si>
  <si>
    <t>E05010316</t>
  </si>
  <si>
    <t>Fulford &amp; Heslington</t>
  </si>
  <si>
    <t>E05010317</t>
  </si>
  <si>
    <t>E05010318</t>
  </si>
  <si>
    <t>Haxby &amp; Wigginton</t>
  </si>
  <si>
    <t>E05010319</t>
  </si>
  <si>
    <t>Heworth</t>
  </si>
  <si>
    <t>E05010320</t>
  </si>
  <si>
    <t>Heworth Without</t>
  </si>
  <si>
    <t>E05010321</t>
  </si>
  <si>
    <t>Holgate</t>
  </si>
  <si>
    <t>E05010322</t>
  </si>
  <si>
    <t>Hull Road</t>
  </si>
  <si>
    <t>E05010323</t>
  </si>
  <si>
    <t>Huntington &amp; New Earswick</t>
  </si>
  <si>
    <t>E05010324</t>
  </si>
  <si>
    <t>Micklegate</t>
  </si>
  <si>
    <t>E05010325</t>
  </si>
  <si>
    <t>Osbaldwick &amp; Derwent</t>
  </si>
  <si>
    <t>E05010326</t>
  </si>
  <si>
    <t>Rawcliffe &amp; Clifton Without</t>
  </si>
  <si>
    <t>E05010327</t>
  </si>
  <si>
    <t>Rural West York</t>
  </si>
  <si>
    <t>E05010328</t>
  </si>
  <si>
    <t>Strensall</t>
  </si>
  <si>
    <t>E05010329</t>
  </si>
  <si>
    <t>E05010330</t>
  </si>
  <si>
    <t>Wheldrake</t>
  </si>
  <si>
    <t>E05010331</t>
  </si>
  <si>
    <t>* as created by The York (Electoral Changes) Order 2014</t>
  </si>
  <si>
    <t>CRAVEN DISTRICT  *</t>
  </si>
  <si>
    <t>Aire Valley with Lothersdale</t>
  </si>
  <si>
    <t>E05009661</t>
  </si>
  <si>
    <t>Barden Fell</t>
  </si>
  <si>
    <t>E05009662</t>
  </si>
  <si>
    <t>Bentham</t>
  </si>
  <si>
    <t>E05006191</t>
  </si>
  <si>
    <t>Cowling</t>
  </si>
  <si>
    <t>E05009663</t>
  </si>
  <si>
    <t>Embsay-with-Eastby</t>
  </si>
  <si>
    <t>E05009664</t>
  </si>
  <si>
    <t>Gargrave and Malhamdale</t>
  </si>
  <si>
    <t>E05009665</t>
  </si>
  <si>
    <t>Glusburn</t>
  </si>
  <si>
    <t>E05009666</t>
  </si>
  <si>
    <t>Grassington</t>
  </si>
  <si>
    <t>E05006196</t>
  </si>
  <si>
    <t xml:space="preserve">Hellifield and Long Preston </t>
  </si>
  <si>
    <t>E05006197</t>
  </si>
  <si>
    <t>Ingleton and Clapham</t>
  </si>
  <si>
    <t>E05006198</t>
  </si>
  <si>
    <t>Penyghent</t>
  </si>
  <si>
    <t>E05006199</t>
  </si>
  <si>
    <t>Settle and Ribblebanks</t>
  </si>
  <si>
    <t>E05006200</t>
  </si>
  <si>
    <t>Skipton East</t>
  </si>
  <si>
    <t>E05009667</t>
  </si>
  <si>
    <t>Skipton North</t>
  </si>
  <si>
    <t>E05009668</t>
  </si>
  <si>
    <t>Skipton South</t>
  </si>
  <si>
    <t>E05006203</t>
  </si>
  <si>
    <t>Skipton West</t>
  </si>
  <si>
    <t>E05009669</t>
  </si>
  <si>
    <t>Sutton-in-Craven</t>
  </si>
  <si>
    <t>E05009670</t>
  </si>
  <si>
    <t>Upper Wharfedale</t>
  </si>
  <si>
    <t>E05006206</t>
  </si>
  <si>
    <t>West Craven</t>
  </si>
  <si>
    <t>E05009671</t>
  </si>
  <si>
    <t>Skipton and Ripon CC (pt)</t>
  </si>
  <si>
    <t>* as created by The District of Craven (Electoral Changes) Order 2000 and</t>
  </si>
  <si>
    <t xml:space="preserve">  as altered by The District of Craven (Electoral Changes) Order 2012</t>
  </si>
  <si>
    <t>HAMBLETON DISTRICT  *</t>
  </si>
  <si>
    <t>Appleton Wiske &amp; Smeatons</t>
  </si>
  <si>
    <t>E05009672</t>
  </si>
  <si>
    <t>Bagby &amp; Thorntons</t>
  </si>
  <si>
    <t>E05009673</t>
  </si>
  <si>
    <t>Bedale</t>
  </si>
  <si>
    <t>E05009674</t>
  </si>
  <si>
    <t>Easingwold</t>
  </si>
  <si>
    <t>E05009675</t>
  </si>
  <si>
    <t>Great Ayton</t>
  </si>
  <si>
    <t>E05009676</t>
  </si>
  <si>
    <t>Huby</t>
  </si>
  <si>
    <t>E05009677</t>
  </si>
  <si>
    <t>Hutton Rudby</t>
  </si>
  <si>
    <t>E05009678</t>
  </si>
  <si>
    <t>Morton-on-Swale</t>
  </si>
  <si>
    <t>E05009679</t>
  </si>
  <si>
    <t>Northallerton North &amp; Brompton</t>
  </si>
  <si>
    <t>E05009680</t>
  </si>
  <si>
    <t>Northallerton South</t>
  </si>
  <si>
    <t>E05009681</t>
  </si>
  <si>
    <t>Osmotherley &amp; Swainby</t>
  </si>
  <si>
    <t>E05009682</t>
  </si>
  <si>
    <t>Raskelf &amp; White Horse</t>
  </si>
  <si>
    <t>E05009683</t>
  </si>
  <si>
    <t>Romanby</t>
  </si>
  <si>
    <t>E05009684</t>
  </si>
  <si>
    <t>Sowerby &amp; Topcliffe</t>
  </si>
  <si>
    <t>E05009685</t>
  </si>
  <si>
    <t>Stokesley</t>
  </si>
  <si>
    <t>E05009686</t>
  </si>
  <si>
    <t>E05009687</t>
  </si>
  <si>
    <t>Thirsk</t>
  </si>
  <si>
    <t>E05009688</t>
  </si>
  <si>
    <t>Richmond (Yorks) CC (pt)</t>
  </si>
  <si>
    <t>Thirsk and Malton CC (pt)</t>
  </si>
  <si>
    <t>* as created by The Hambleton (Electoral Changes) Order 2014</t>
  </si>
  <si>
    <t>E05006238</t>
  </si>
  <si>
    <t>Bishop Monkton</t>
  </si>
  <si>
    <t>E05006239</t>
  </si>
  <si>
    <t>Boroughbridge</t>
  </si>
  <si>
    <t>E05006240</t>
  </si>
  <si>
    <t>Claro</t>
  </si>
  <si>
    <t>E05006241</t>
  </si>
  <si>
    <t>Granby</t>
  </si>
  <si>
    <t>E05006242</t>
  </si>
  <si>
    <t>Harlow Moor</t>
  </si>
  <si>
    <t>E05006243</t>
  </si>
  <si>
    <t>High Harrogate</t>
  </si>
  <si>
    <t>E05006244</t>
  </si>
  <si>
    <t>Hookstone</t>
  </si>
  <si>
    <t>E05006245</t>
  </si>
  <si>
    <t>Killinghall</t>
  </si>
  <si>
    <t>E05006246</t>
  </si>
  <si>
    <t>Kirkby Malzeard</t>
  </si>
  <si>
    <t>E05006247</t>
  </si>
  <si>
    <t>Knaresborough East</t>
  </si>
  <si>
    <t>E05006248</t>
  </si>
  <si>
    <t>Knaresborough King James</t>
  </si>
  <si>
    <t>E05006249</t>
  </si>
  <si>
    <t>Knaresborough Scriven Park</t>
  </si>
  <si>
    <t>E05006250</t>
  </si>
  <si>
    <t>Low Harrogate</t>
  </si>
  <si>
    <t>E05006251</t>
  </si>
  <si>
    <t>Lower Nidderdale</t>
  </si>
  <si>
    <t>E05006252</t>
  </si>
  <si>
    <t>Marston Moor</t>
  </si>
  <si>
    <t>E05006253</t>
  </si>
  <si>
    <t>Mashamshire</t>
  </si>
  <si>
    <t>E05006254</t>
  </si>
  <si>
    <t>Newby</t>
  </si>
  <si>
    <t>E05006255</t>
  </si>
  <si>
    <t>New Park</t>
  </si>
  <si>
    <t>E05006256</t>
  </si>
  <si>
    <t>Nidd Valley</t>
  </si>
  <si>
    <t>E05006257</t>
  </si>
  <si>
    <t>E05006258</t>
  </si>
  <si>
    <t>Pannal</t>
  </si>
  <si>
    <t>E05006259</t>
  </si>
  <si>
    <t>Pateley Bridge</t>
  </si>
  <si>
    <t>E05006260</t>
  </si>
  <si>
    <t>Ribston</t>
  </si>
  <si>
    <t>E05006261</t>
  </si>
  <si>
    <t>Ripon Minster</t>
  </si>
  <si>
    <t>E05006262</t>
  </si>
  <si>
    <t>Ripon Moorside</t>
  </si>
  <si>
    <t>E05006263</t>
  </si>
  <si>
    <t>Ripon Spa</t>
  </si>
  <si>
    <t>E05006264</t>
  </si>
  <si>
    <t>Rossett</t>
  </si>
  <si>
    <t>E05006265</t>
  </si>
  <si>
    <t>Saltergate</t>
  </si>
  <si>
    <t>E05006266</t>
  </si>
  <si>
    <t>Spofforth with Lower Wharfedale</t>
  </si>
  <si>
    <t>E05006267</t>
  </si>
  <si>
    <t>Starbeck</t>
  </si>
  <si>
    <t>E05006268</t>
  </si>
  <si>
    <t>Stray</t>
  </si>
  <si>
    <t>E05006269</t>
  </si>
  <si>
    <t>Washburn</t>
  </si>
  <si>
    <t>E05006270</t>
  </si>
  <si>
    <t>Wathvale</t>
  </si>
  <si>
    <t>E05006271</t>
  </si>
  <si>
    <t>E05006272</t>
  </si>
  <si>
    <t>Selby and Ainsty CC (pt)</t>
  </si>
  <si>
    <t>* as created by The Borough of Harrogate (Electoral Changes) Order 2000</t>
  </si>
  <si>
    <t>RICHMONDSHIRE DISTRICT  *</t>
  </si>
  <si>
    <t>Addlebrough</t>
  </si>
  <si>
    <t>E05006273</t>
  </si>
  <si>
    <t>E05006274</t>
  </si>
  <si>
    <t>Bolton Castle</t>
  </si>
  <si>
    <t>E05006275</t>
  </si>
  <si>
    <t>Brompton-on-Swale and Scorton</t>
  </si>
  <si>
    <t>E05006276</t>
  </si>
  <si>
    <t>Catterick</t>
  </si>
  <si>
    <t>E05006277</t>
  </si>
  <si>
    <t>Colburn</t>
  </si>
  <si>
    <t>E05006278</t>
  </si>
  <si>
    <t>E05006279</t>
  </si>
  <si>
    <t>Gilling West</t>
  </si>
  <si>
    <t>E05006280</t>
  </si>
  <si>
    <t>Hawes and High Abbotside</t>
  </si>
  <si>
    <t>E05006281</t>
  </si>
  <si>
    <t>Hipswell</t>
  </si>
  <si>
    <t>E05006282</t>
  </si>
  <si>
    <t>Hornby Castle</t>
  </si>
  <si>
    <t>E05006283</t>
  </si>
  <si>
    <t>Leyburn</t>
  </si>
  <si>
    <t>E05006284</t>
  </si>
  <si>
    <t>Lower Wensleydale</t>
  </si>
  <si>
    <t>E05006285</t>
  </si>
  <si>
    <t>Melsonby</t>
  </si>
  <si>
    <t>E05006286</t>
  </si>
  <si>
    <t>Middleham</t>
  </si>
  <si>
    <t>E05006287</t>
  </si>
  <si>
    <t>Middleton Tyas</t>
  </si>
  <si>
    <t>E05006288</t>
  </si>
  <si>
    <t>Newsham with Eppleby</t>
  </si>
  <si>
    <t>E05006289</t>
  </si>
  <si>
    <t>Penhill</t>
  </si>
  <si>
    <t>E05006290</t>
  </si>
  <si>
    <t>Reeth and Arkengarthdale</t>
  </si>
  <si>
    <t>E05006291</t>
  </si>
  <si>
    <t>Richmond Central</t>
  </si>
  <si>
    <t>E05006292</t>
  </si>
  <si>
    <t>Richmond East</t>
  </si>
  <si>
    <t>E05006293</t>
  </si>
  <si>
    <t>Richmond West</t>
  </si>
  <si>
    <t>E05006294</t>
  </si>
  <si>
    <t>Scotton</t>
  </si>
  <si>
    <t>E05006295</t>
  </si>
  <si>
    <t>Swaledale</t>
  </si>
  <si>
    <t>E05006296</t>
  </si>
  <si>
    <t>* as created by The District of Richmondshire (Electoral Changes) Order 2000</t>
  </si>
  <si>
    <t>Amotherby</t>
  </si>
  <si>
    <t>E05006297</t>
  </si>
  <si>
    <t>Ampleforth</t>
  </si>
  <si>
    <t>E05006298</t>
  </si>
  <si>
    <t>Cropton</t>
  </si>
  <si>
    <t>E05006299</t>
  </si>
  <si>
    <t>E05006300</t>
  </si>
  <si>
    <t>E05006301</t>
  </si>
  <si>
    <t>Helmsley</t>
  </si>
  <si>
    <t>E05006302</t>
  </si>
  <si>
    <t>Hovingham</t>
  </si>
  <si>
    <t>E05006303</t>
  </si>
  <si>
    <t>Kirkbymoorside</t>
  </si>
  <si>
    <t>E05006304</t>
  </si>
  <si>
    <t>Malton</t>
  </si>
  <si>
    <t>E05006305</t>
  </si>
  <si>
    <t>Norton East</t>
  </si>
  <si>
    <t>E05006306</t>
  </si>
  <si>
    <t>E05006307</t>
  </si>
  <si>
    <t>Pickering East</t>
  </si>
  <si>
    <t>E05006308</t>
  </si>
  <si>
    <t>Pickering West</t>
  </si>
  <si>
    <t>E05006309</t>
  </si>
  <si>
    <t>Rillington</t>
  </si>
  <si>
    <t>E05006310</t>
  </si>
  <si>
    <t>Ryedale South West</t>
  </si>
  <si>
    <t>E05006311</t>
  </si>
  <si>
    <t>E05006312</t>
  </si>
  <si>
    <t>Sheriff Hutton</t>
  </si>
  <si>
    <t>E05006313</t>
  </si>
  <si>
    <t>Sinnington</t>
  </si>
  <si>
    <t>E05006314</t>
  </si>
  <si>
    <t>Thornton Dale</t>
  </si>
  <si>
    <t>E05006315</t>
  </si>
  <si>
    <t>E05006316</t>
  </si>
  <si>
    <t>* as created by The District of Ryedale (Electoral Changes) Order 2000</t>
  </si>
  <si>
    <t>SCARBOROUGH BOROUGH  *</t>
  </si>
  <si>
    <t>E05006317</t>
  </si>
  <si>
    <t>Cayton</t>
  </si>
  <si>
    <t>E05006318</t>
  </si>
  <si>
    <t>E05006319</t>
  </si>
  <si>
    <t>Danby</t>
  </si>
  <si>
    <t>E05006320</t>
  </si>
  <si>
    <t>Derwent Valley</t>
  </si>
  <si>
    <t>E05006321</t>
  </si>
  <si>
    <t>E05006322</t>
  </si>
  <si>
    <t>Esk Valley</t>
  </si>
  <si>
    <t>E05006323</t>
  </si>
  <si>
    <t>Falsgrave Park</t>
  </si>
  <si>
    <t>E05006324</t>
  </si>
  <si>
    <t>Filey</t>
  </si>
  <si>
    <t>E05006325</t>
  </si>
  <si>
    <t>Fylingdales</t>
  </si>
  <si>
    <t>E05006326</t>
  </si>
  <si>
    <t>Hertford</t>
  </si>
  <si>
    <t>E05006327</t>
  </si>
  <si>
    <t>Lindhead</t>
  </si>
  <si>
    <t>E05006328</t>
  </si>
  <si>
    <t>E05006329</t>
  </si>
  <si>
    <t>Mulgrave</t>
  </si>
  <si>
    <t>E05006330</t>
  </si>
  <si>
    <t>E05006331</t>
  </si>
  <si>
    <t>North Bay</t>
  </si>
  <si>
    <t>E05006332</t>
  </si>
  <si>
    <t>Northstead</t>
  </si>
  <si>
    <t>E05006333</t>
  </si>
  <si>
    <t>Ramshill</t>
  </si>
  <si>
    <t>E05006334</t>
  </si>
  <si>
    <t>Scalby, Hackness and Staintondale</t>
  </si>
  <si>
    <t>E05006335</t>
  </si>
  <si>
    <t>Seamer</t>
  </si>
  <si>
    <t>E05006336</t>
  </si>
  <si>
    <t>Stepney</t>
  </si>
  <si>
    <t>E05006337</t>
  </si>
  <si>
    <t>Streonshalh</t>
  </si>
  <si>
    <t>E05006338</t>
  </si>
  <si>
    <t>Weaponness</t>
  </si>
  <si>
    <t>E05006339</t>
  </si>
  <si>
    <t>Whitby West Cliff</t>
  </si>
  <si>
    <t>E05006340</t>
  </si>
  <si>
    <t>E05006341</t>
  </si>
  <si>
    <t>* as created by The Borough of Scarborough (Electoral Changes) Order 2000</t>
  </si>
  <si>
    <t>Appleton Roebuck &amp; Church Fenton</t>
  </si>
  <si>
    <t>E05010044</t>
  </si>
  <si>
    <t>Barlby Village</t>
  </si>
  <si>
    <t>E05010045</t>
  </si>
  <si>
    <t>Brayton</t>
  </si>
  <si>
    <t>E05010046</t>
  </si>
  <si>
    <t>Byram &amp; Brotherton</t>
  </si>
  <si>
    <t>E05010047</t>
  </si>
  <si>
    <t>Camblesforth &amp; Carlton</t>
  </si>
  <si>
    <t>E05010048</t>
  </si>
  <si>
    <t>Cawood &amp; Wistow</t>
  </si>
  <si>
    <t>E05010049</t>
  </si>
  <si>
    <t>E05010050</t>
  </si>
  <si>
    <t>Eggborough</t>
  </si>
  <si>
    <t>E05010051</t>
  </si>
  <si>
    <t>Escrick</t>
  </si>
  <si>
    <t>E05010052</t>
  </si>
  <si>
    <t>E05010053</t>
  </si>
  <si>
    <t>Monk Fryston</t>
  </si>
  <si>
    <t>E05010054</t>
  </si>
  <si>
    <t>Riccall</t>
  </si>
  <si>
    <t>E05010055</t>
  </si>
  <si>
    <t>Selby East</t>
  </si>
  <si>
    <t>E05010056</t>
  </si>
  <si>
    <t>Selby West</t>
  </si>
  <si>
    <t>E05010057</t>
  </si>
  <si>
    <t>Sherburn in Elmet</t>
  </si>
  <si>
    <t>E05010058</t>
  </si>
  <si>
    <t>South Milford</t>
  </si>
  <si>
    <t>E05010059</t>
  </si>
  <si>
    <t>Tadcaster</t>
  </si>
  <si>
    <t>E05010060</t>
  </si>
  <si>
    <t>Thorpe Willoughby</t>
  </si>
  <si>
    <t>E05010061</t>
  </si>
  <si>
    <t>Whitley</t>
  </si>
  <si>
    <t>E05010062</t>
  </si>
  <si>
    <t>Normanton, Castleford and Outwood CC (pt)</t>
  </si>
  <si>
    <t>Pontefract CC (pt)</t>
  </si>
  <si>
    <t>* as created by The Selby (Electoral Changes) Order 2014</t>
  </si>
  <si>
    <t>BARNSLEY BOROUGH</t>
  </si>
  <si>
    <t>DONCASTER BOROUGH</t>
  </si>
  <si>
    <t>ROTHERHAM BOROUGH</t>
  </si>
  <si>
    <t>CITY OF SHEFFIELD</t>
  </si>
  <si>
    <t>Barnsley Central BC</t>
  </si>
  <si>
    <t>Barnsley (pt)</t>
  </si>
  <si>
    <t>Barnsley East and Hemsworth CC</t>
  </si>
  <si>
    <t>Colne Valley CC</t>
  </si>
  <si>
    <t>Kirklees (pt)</t>
  </si>
  <si>
    <t>Doncaster Central BC</t>
  </si>
  <si>
    <t>Doncaster (pt)</t>
  </si>
  <si>
    <t>Doncaster East CC</t>
  </si>
  <si>
    <t>Doncaster West CC</t>
  </si>
  <si>
    <t>Rother Valley CC</t>
  </si>
  <si>
    <t>Rotherham (pt)</t>
  </si>
  <si>
    <t>Sheffield (pt)</t>
  </si>
  <si>
    <t>Rotherham BC</t>
  </si>
  <si>
    <t>Sheffield Central and West BC</t>
  </si>
  <si>
    <t>Sheffield East BC</t>
  </si>
  <si>
    <t>Sheffield Hallam and Stocksbridge CC</t>
  </si>
  <si>
    <t>Sheffield North and Ecclesfield BC</t>
  </si>
  <si>
    <t>Sheffield South BC</t>
  </si>
  <si>
    <t>Wentworth and Dearne CC</t>
  </si>
  <si>
    <t>BARNSLEY BOROUGH  *</t>
  </si>
  <si>
    <t>E05000976</t>
  </si>
  <si>
    <t>Cudworth</t>
  </si>
  <si>
    <t>E05000977</t>
  </si>
  <si>
    <t>Darfield</t>
  </si>
  <si>
    <t>E05000978</t>
  </si>
  <si>
    <t>Darton East</t>
  </si>
  <si>
    <t>E05000979</t>
  </si>
  <si>
    <t>Darton West</t>
  </si>
  <si>
    <t>E05000980</t>
  </si>
  <si>
    <t>Dearne North</t>
  </si>
  <si>
    <t>E05000981</t>
  </si>
  <si>
    <t>Dearne South</t>
  </si>
  <si>
    <t>E05000982</t>
  </si>
  <si>
    <t>Dodworth</t>
  </si>
  <si>
    <t>E05000983</t>
  </si>
  <si>
    <t>Hoyland Milton</t>
  </si>
  <si>
    <t>E05000984</t>
  </si>
  <si>
    <t>Kingstone</t>
  </si>
  <si>
    <t>E05000985</t>
  </si>
  <si>
    <t>Monk Bretton</t>
  </si>
  <si>
    <t>E05000986</t>
  </si>
  <si>
    <t>North East</t>
  </si>
  <si>
    <t>E05000987</t>
  </si>
  <si>
    <t>E05000988</t>
  </si>
  <si>
    <t>Penistone East</t>
  </si>
  <si>
    <t>E05000989</t>
  </si>
  <si>
    <t>Penistone West</t>
  </si>
  <si>
    <t>E05000990</t>
  </si>
  <si>
    <t>Rockingham</t>
  </si>
  <si>
    <t>E05000991</t>
  </si>
  <si>
    <t>Royston</t>
  </si>
  <si>
    <t>E05000992</t>
  </si>
  <si>
    <t>St Helens</t>
  </si>
  <si>
    <t>E05000993</t>
  </si>
  <si>
    <t>Stairfoot</t>
  </si>
  <si>
    <t>E05000994</t>
  </si>
  <si>
    <t>Wombwell</t>
  </si>
  <si>
    <t>E05000995</t>
  </si>
  <si>
    <t>Worsbrough</t>
  </si>
  <si>
    <t>E05000996</t>
  </si>
  <si>
    <t>Barnsley East and Hemsworth CC (pt)</t>
  </si>
  <si>
    <t>Colne Valley CC (pt)</t>
  </si>
  <si>
    <t>Doncaster West CC (pt)</t>
  </si>
  <si>
    <t>Sheffield Hallam and Stocksbridge CC (pt)</t>
  </si>
  <si>
    <t>Wentworth and Dearne CC (pt)</t>
  </si>
  <si>
    <t>* as created by The Borough of Barnsley (Electoral Changes) Order 2003</t>
  </si>
  <si>
    <t>DONCASTER BOROUGH  *</t>
  </si>
  <si>
    <t>Adwick le Street &amp; Carcroft</t>
  </si>
  <si>
    <t>E05010728</t>
  </si>
  <si>
    <t>Armthorpe</t>
  </si>
  <si>
    <t>E05010729</t>
  </si>
  <si>
    <t>Balby South</t>
  </si>
  <si>
    <t>E05010730</t>
  </si>
  <si>
    <t>Bentley</t>
  </si>
  <si>
    <t>E05010731</t>
  </si>
  <si>
    <t>Bessacarr</t>
  </si>
  <si>
    <t>E05010732</t>
  </si>
  <si>
    <t>Conisbrough</t>
  </si>
  <si>
    <t>E05010733</t>
  </si>
  <si>
    <t>Edenthorpe &amp; Kirk Sandall</t>
  </si>
  <si>
    <t>E05010734</t>
  </si>
  <si>
    <t>Edlington &amp; Warmsworth</t>
  </si>
  <si>
    <t>E05010735</t>
  </si>
  <si>
    <t>Finningley</t>
  </si>
  <si>
    <t>E05010736</t>
  </si>
  <si>
    <t>Hatfield</t>
  </si>
  <si>
    <t>E05010737</t>
  </si>
  <si>
    <t>Hexthorpe &amp; Balby North</t>
  </si>
  <si>
    <t>E05010738</t>
  </si>
  <si>
    <t>Mexborough</t>
  </si>
  <si>
    <t>E05010739</t>
  </si>
  <si>
    <t>Norton &amp; Askern</t>
  </si>
  <si>
    <t>E05010740</t>
  </si>
  <si>
    <t>Roman Ridge</t>
  </si>
  <si>
    <t>E05010741</t>
  </si>
  <si>
    <t>Rossington &amp; Bawtry</t>
  </si>
  <si>
    <t>E05010742</t>
  </si>
  <si>
    <t>Sprotbrough</t>
  </si>
  <si>
    <t>E05010743</t>
  </si>
  <si>
    <t>Stainforth &amp; Barnby Dun</t>
  </si>
  <si>
    <t>E05010744</t>
  </si>
  <si>
    <t>Thorne &amp; Moorends</t>
  </si>
  <si>
    <t>E05010745</t>
  </si>
  <si>
    <t>Tickhill &amp; Wadsworth</t>
  </si>
  <si>
    <t>E05010746</t>
  </si>
  <si>
    <t>E05010747</t>
  </si>
  <si>
    <t>Wheatley Hills &amp; Intake</t>
  </si>
  <si>
    <t>E05010748</t>
  </si>
  <si>
    <t>* as created by The Doncaster (Electoral Changes) Order 2015</t>
  </si>
  <si>
    <t>ROTHERHAM BOROUGH  *</t>
  </si>
  <si>
    <t>Anston and Woodsetts</t>
  </si>
  <si>
    <t>E05008935</t>
  </si>
  <si>
    <t>Boston Castle</t>
  </si>
  <si>
    <t>E05001019</t>
  </si>
  <si>
    <t>Brinsworth and Catcliffe</t>
  </si>
  <si>
    <t>E05001020</t>
  </si>
  <si>
    <t>Dinnington</t>
  </si>
  <si>
    <t>E05008936</t>
  </si>
  <si>
    <t>Hellaby</t>
  </si>
  <si>
    <t>E05001022</t>
  </si>
  <si>
    <t>E05001023</t>
  </si>
  <si>
    <t>Hoober</t>
  </si>
  <si>
    <t>E05001024</t>
  </si>
  <si>
    <t>Keppel</t>
  </si>
  <si>
    <t>E05001025</t>
  </si>
  <si>
    <t>Maltby</t>
  </si>
  <si>
    <t>E05001026</t>
  </si>
  <si>
    <t>Rawmarsh</t>
  </si>
  <si>
    <t>E05001027</t>
  </si>
  <si>
    <t>Rother Vale</t>
  </si>
  <si>
    <t>E05001028</t>
  </si>
  <si>
    <t>Rotherham East</t>
  </si>
  <si>
    <t>E05001029</t>
  </si>
  <si>
    <t>Rotherham West</t>
  </si>
  <si>
    <t>E05001030</t>
  </si>
  <si>
    <t>Silverwood</t>
  </si>
  <si>
    <t>E05001031</t>
  </si>
  <si>
    <t>Sitwell</t>
  </si>
  <si>
    <t>E05001032</t>
  </si>
  <si>
    <t>Swinton</t>
  </si>
  <si>
    <t>E05001033</t>
  </si>
  <si>
    <t>E05001034</t>
  </si>
  <si>
    <t>Wales</t>
  </si>
  <si>
    <t>E05001035</t>
  </si>
  <si>
    <t>Wath</t>
  </si>
  <si>
    <t>E05001036</t>
  </si>
  <si>
    <t>Wickersley</t>
  </si>
  <si>
    <t>E05001037</t>
  </si>
  <si>
    <t>E05001038</t>
  </si>
  <si>
    <t>Rother Valley CC (pt)</t>
  </si>
  <si>
    <t>Sheffield East BC (pt)</t>
  </si>
  <si>
    <t>Sheffield North and Ecclesfield BC (pt)</t>
  </si>
  <si>
    <t>* as created by The Borough of Rotherham (Electoral Changes) Order 2004 and</t>
  </si>
  <si>
    <t xml:space="preserve">   as altered by The Rotherham (Electoral Changes) Order 2010</t>
  </si>
  <si>
    <t>CITY OF SHEFFIELD  *</t>
  </si>
  <si>
    <t>Arbourthorne</t>
  </si>
  <si>
    <t>E05001039</t>
  </si>
  <si>
    <t>Beauchief and Greenhill</t>
  </si>
  <si>
    <t>E05001040</t>
  </si>
  <si>
    <t>Beighton</t>
  </si>
  <si>
    <t>E05001041</t>
  </si>
  <si>
    <t>Birley</t>
  </si>
  <si>
    <t>E05001042</t>
  </si>
  <si>
    <t>E05001043</t>
  </si>
  <si>
    <t>Burngreave</t>
  </si>
  <si>
    <t>E05001044</t>
  </si>
  <si>
    <t>E05001045</t>
  </si>
  <si>
    <t>Crookes</t>
  </si>
  <si>
    <t>E05001046</t>
  </si>
  <si>
    <t>Darnall</t>
  </si>
  <si>
    <t>E05001047</t>
  </si>
  <si>
    <t>Dore and Totley</t>
  </si>
  <si>
    <t>E05001048</t>
  </si>
  <si>
    <t>East Ecclesfield</t>
  </si>
  <si>
    <t>E05001049</t>
  </si>
  <si>
    <t>Ecclesall</t>
  </si>
  <si>
    <t>E05001050</t>
  </si>
  <si>
    <t>Firth Park</t>
  </si>
  <si>
    <t>E05001051</t>
  </si>
  <si>
    <t>Fulwood</t>
  </si>
  <si>
    <t>E05001052</t>
  </si>
  <si>
    <t>Gleadless Valley</t>
  </si>
  <si>
    <t>E05001053</t>
  </si>
  <si>
    <t>Graves Park</t>
  </si>
  <si>
    <t>E05001054</t>
  </si>
  <si>
    <t>Hillsborough</t>
  </si>
  <si>
    <t>E05001055</t>
  </si>
  <si>
    <t>Manor Castle</t>
  </si>
  <si>
    <t>E05001056</t>
  </si>
  <si>
    <t>Mosborough</t>
  </si>
  <si>
    <t>E05001057</t>
  </si>
  <si>
    <t>Nether Edge</t>
  </si>
  <si>
    <t>E05001058</t>
  </si>
  <si>
    <t>Richmond</t>
  </si>
  <si>
    <t>E05001059</t>
  </si>
  <si>
    <t>Shiregreen and Brightside</t>
  </si>
  <si>
    <t>E05001060</t>
  </si>
  <si>
    <t>Southey</t>
  </si>
  <si>
    <t>E05001061</t>
  </si>
  <si>
    <t>Stannington</t>
  </si>
  <si>
    <t>E05001062</t>
  </si>
  <si>
    <t>Stocksbridge and Upper Don</t>
  </si>
  <si>
    <t>E05001063</t>
  </si>
  <si>
    <t>Walkley</t>
  </si>
  <si>
    <t>E05001064</t>
  </si>
  <si>
    <t>West Ecclesfield</t>
  </si>
  <si>
    <t>E05001065</t>
  </si>
  <si>
    <t>E05001066</t>
  </si>
  <si>
    <t>* as created by The City of Sheffield (Electoral Changes) Order 2004</t>
  </si>
  <si>
    <t>CITY OF BRADFORD</t>
  </si>
  <si>
    <t>CALDERDALE BOROUGH</t>
  </si>
  <si>
    <t>KIRKLEES BOROUGH</t>
  </si>
  <si>
    <t>CITY OF LEEDS</t>
  </si>
  <si>
    <t>CITY OF WAKEFIELD</t>
  </si>
  <si>
    <t>Batley and Morley BC</t>
  </si>
  <si>
    <t>Leeds (pt)</t>
  </si>
  <si>
    <t>Bradford East BC</t>
  </si>
  <si>
    <t>Bradford (pt)</t>
  </si>
  <si>
    <t>Bradford West BC</t>
  </si>
  <si>
    <t>Calder Valley CC</t>
  </si>
  <si>
    <t>Calderdale (pt)</t>
  </si>
  <si>
    <t>Dewsbury CC</t>
  </si>
  <si>
    <t>Elmet and Rothwell CC</t>
  </si>
  <si>
    <t>Halifax BC</t>
  </si>
  <si>
    <t>Huddersfield BC</t>
  </si>
  <si>
    <t>Keighley CC</t>
  </si>
  <si>
    <t>Leeds Central BC</t>
  </si>
  <si>
    <t>Leeds East BC</t>
  </si>
  <si>
    <t>Leeds North East BC</t>
  </si>
  <si>
    <t>Leeds North West BC</t>
  </si>
  <si>
    <t>Pudsey BC</t>
  </si>
  <si>
    <t>Shipley CC</t>
  </si>
  <si>
    <t>Spen BC</t>
  </si>
  <si>
    <t>Wakefield CC</t>
  </si>
  <si>
    <t>CITY OF BRADFORD  *</t>
  </si>
  <si>
    <t>Baildon</t>
  </si>
  <si>
    <t>E05001341</t>
  </si>
  <si>
    <t>Bingley</t>
  </si>
  <si>
    <t>E05001342</t>
  </si>
  <si>
    <t>Bingley Rural</t>
  </si>
  <si>
    <t>E05001343</t>
  </si>
  <si>
    <t>Bolton and Undercliffe</t>
  </si>
  <si>
    <t>E05001344</t>
  </si>
  <si>
    <t>Bowling and Barkerend</t>
  </si>
  <si>
    <t>E05001345</t>
  </si>
  <si>
    <t>Bradford Moor</t>
  </si>
  <si>
    <t>E05001346</t>
  </si>
  <si>
    <t>City</t>
  </si>
  <si>
    <t>E05001347</t>
  </si>
  <si>
    <t>Clayton and Fairweather Green</t>
  </si>
  <si>
    <t>E05001348</t>
  </si>
  <si>
    <t>E05001349</t>
  </si>
  <si>
    <t>Eccleshill</t>
  </si>
  <si>
    <t>E05001350</t>
  </si>
  <si>
    <t>Great Horton</t>
  </si>
  <si>
    <t>E05001351</t>
  </si>
  <si>
    <t>E05001352</t>
  </si>
  <si>
    <t>Idle and Thackley</t>
  </si>
  <si>
    <t>E05001353</t>
  </si>
  <si>
    <t>Ilkley</t>
  </si>
  <si>
    <t>E05001354</t>
  </si>
  <si>
    <t>Keighley Central</t>
  </si>
  <si>
    <t>E05001355</t>
  </si>
  <si>
    <t>Keighley East</t>
  </si>
  <si>
    <t>E05001356</t>
  </si>
  <si>
    <t>Keighley West</t>
  </si>
  <si>
    <t>E05001357</t>
  </si>
  <si>
    <t>Little Horton</t>
  </si>
  <si>
    <t>E05001358</t>
  </si>
  <si>
    <t>Manningham</t>
  </si>
  <si>
    <t>E05001359</t>
  </si>
  <si>
    <t>E05001360</t>
  </si>
  <si>
    <t>Royds</t>
  </si>
  <si>
    <t>E05001361</t>
  </si>
  <si>
    <t>Shipley</t>
  </si>
  <si>
    <t>E05001362</t>
  </si>
  <si>
    <t>Thornton and Allerton</t>
  </si>
  <si>
    <t>E05001363</t>
  </si>
  <si>
    <t>E05001364</t>
  </si>
  <si>
    <t>Tong</t>
  </si>
  <si>
    <t>E05001365</t>
  </si>
  <si>
    <t>Wharfedale</t>
  </si>
  <si>
    <t>E05001366</t>
  </si>
  <si>
    <t>Wibsey</t>
  </si>
  <si>
    <t>E05001367</t>
  </si>
  <si>
    <t>Windhill and Wrose</t>
  </si>
  <si>
    <t>E05001368</t>
  </si>
  <si>
    <t>Worth Valley</t>
  </si>
  <si>
    <t>E05001369</t>
  </si>
  <si>
    <t>Wyke</t>
  </si>
  <si>
    <t>E05001370</t>
  </si>
  <si>
    <t>Halifax BC (pt)</t>
  </si>
  <si>
    <t>Pudsey BC (pt)</t>
  </si>
  <si>
    <t>Shipley CC (pt)</t>
  </si>
  <si>
    <t>Spen BC (pt)</t>
  </si>
  <si>
    <t>* as created by The City of Bradford (Electoral Changes) Order 2004 and</t>
  </si>
  <si>
    <t xml:space="preserve">   as altered by The Bradford (Electoral Changes) Order 2008</t>
  </si>
  <si>
    <t>CALDERDALE BOROUGH  *</t>
  </si>
  <si>
    <t>Brighouse</t>
  </si>
  <si>
    <t>E05001371</t>
  </si>
  <si>
    <t>Calder</t>
  </si>
  <si>
    <t>E05001372</t>
  </si>
  <si>
    <t>Elland</t>
  </si>
  <si>
    <t>E05001373</t>
  </si>
  <si>
    <t>Greetland and Stainland</t>
  </si>
  <si>
    <t>E05001374</t>
  </si>
  <si>
    <t>Hipperholme and Lightcliffe</t>
  </si>
  <si>
    <t>E05001375</t>
  </si>
  <si>
    <t>Illingworth and Mixenden</t>
  </si>
  <si>
    <t>E05001376</t>
  </si>
  <si>
    <t>Luddendenfoot</t>
  </si>
  <si>
    <t>E05001377</t>
  </si>
  <si>
    <t>Northowram and Shelf</t>
  </si>
  <si>
    <t>E05001378</t>
  </si>
  <si>
    <t>Ovenden</t>
  </si>
  <si>
    <t>E05001379</t>
  </si>
  <si>
    <t>E05001380</t>
  </si>
  <si>
    <t>Rastrick</t>
  </si>
  <si>
    <t>E05001381</t>
  </si>
  <si>
    <t>Ryburn</t>
  </si>
  <si>
    <t>E05001382</t>
  </si>
  <si>
    <t>Skircoat</t>
  </si>
  <si>
    <t>E05001383</t>
  </si>
  <si>
    <t>Sowerby Bridge</t>
  </si>
  <si>
    <t>E05001384</t>
  </si>
  <si>
    <t>Todmorden</t>
  </si>
  <si>
    <t>E05001385</t>
  </si>
  <si>
    <t>E05001386</t>
  </si>
  <si>
    <t>E05001387</t>
  </si>
  <si>
    <t>* as created by The Borough of Calderdale (Electoral Changes) Order 2003</t>
  </si>
  <si>
    <t>KIRKLEES BOROUGH  *</t>
  </si>
  <si>
    <t>Almondbury</t>
  </si>
  <si>
    <t>E05008558</t>
  </si>
  <si>
    <t>Ashbrow</t>
  </si>
  <si>
    <t>E05001389</t>
  </si>
  <si>
    <t>Batley East</t>
  </si>
  <si>
    <t>E05001390</t>
  </si>
  <si>
    <t>Batley West</t>
  </si>
  <si>
    <t>E05001391</t>
  </si>
  <si>
    <t>Birstall and Birkenshaw</t>
  </si>
  <si>
    <t>E05001392</t>
  </si>
  <si>
    <t>Cleckheaton</t>
  </si>
  <si>
    <t>E05001393</t>
  </si>
  <si>
    <t>Colne Valley</t>
  </si>
  <si>
    <t>E05008559</t>
  </si>
  <si>
    <t>Crosland Moor and Netherton</t>
  </si>
  <si>
    <t>E05008560</t>
  </si>
  <si>
    <t>Dalton</t>
  </si>
  <si>
    <t>E05001396</t>
  </si>
  <si>
    <t>Denby Dale</t>
  </si>
  <si>
    <t>E05001397</t>
  </si>
  <si>
    <t>Dewsbury East</t>
  </si>
  <si>
    <t>E05001398</t>
  </si>
  <si>
    <t>Dewsbury South</t>
  </si>
  <si>
    <t>E05001399</t>
  </si>
  <si>
    <t>Dewsbury West</t>
  </si>
  <si>
    <t>E05001400</t>
  </si>
  <si>
    <t>Golcar</t>
  </si>
  <si>
    <t>E05001401</t>
  </si>
  <si>
    <t>Greenhead</t>
  </si>
  <si>
    <t>E05001402</t>
  </si>
  <si>
    <t>Heckmondwike</t>
  </si>
  <si>
    <t>E05001403</t>
  </si>
  <si>
    <t>Holme Valley North</t>
  </si>
  <si>
    <t>E05008561</t>
  </si>
  <si>
    <t>Holme Valley South</t>
  </si>
  <si>
    <t>E05001405</t>
  </si>
  <si>
    <t>Kirkburton</t>
  </si>
  <si>
    <t>E05008562</t>
  </si>
  <si>
    <t>Lindley</t>
  </si>
  <si>
    <t>E05001407</t>
  </si>
  <si>
    <t>Liversedge and Gomersal</t>
  </si>
  <si>
    <t>E05001408</t>
  </si>
  <si>
    <t>Mirfield</t>
  </si>
  <si>
    <t>E05001409</t>
  </si>
  <si>
    <t>Newsome</t>
  </si>
  <si>
    <t>E05001410</t>
  </si>
  <si>
    <t>Batley and Morley BC (pt)</t>
  </si>
  <si>
    <t>* as created by The Borough of Kirklees (Electoral Changes) Order 2003 and</t>
  </si>
  <si>
    <t xml:space="preserve">   as altered by The Kirklees (Related Alterations) Order 2010</t>
  </si>
  <si>
    <t>CITY OF LEEDS  *</t>
  </si>
  <si>
    <t>Adel and Wharfedale</t>
  </si>
  <si>
    <t>E05001411</t>
  </si>
  <si>
    <t>Alwoodley</t>
  </si>
  <si>
    <t>E05001412</t>
  </si>
  <si>
    <t>Ardsley and Robin Hood</t>
  </si>
  <si>
    <t>E05001413</t>
  </si>
  <si>
    <t>Armley</t>
  </si>
  <si>
    <t>E05001414</t>
  </si>
  <si>
    <t>Beeston and Holbeck</t>
  </si>
  <si>
    <t>E05001415</t>
  </si>
  <si>
    <t>Bramley and Stanningley</t>
  </si>
  <si>
    <t>E05001416</t>
  </si>
  <si>
    <t>Burmantofts and Richmond Hill</t>
  </si>
  <si>
    <t>E05001417</t>
  </si>
  <si>
    <t>Calverley and Farsley</t>
  </si>
  <si>
    <t>E05001418</t>
  </si>
  <si>
    <t>Chapel Allerton</t>
  </si>
  <si>
    <t>E05001419</t>
  </si>
  <si>
    <t>City and Hunslet</t>
  </si>
  <si>
    <t>E05001420</t>
  </si>
  <si>
    <t>Cross Gates and Whinmoor</t>
  </si>
  <si>
    <t>E05001421</t>
  </si>
  <si>
    <t>Farnley and Wortley</t>
  </si>
  <si>
    <t>E05001422</t>
  </si>
  <si>
    <t>Garforth and Swillington</t>
  </si>
  <si>
    <t>E05001423</t>
  </si>
  <si>
    <t>Gipton and Harehills</t>
  </si>
  <si>
    <t>E05001424</t>
  </si>
  <si>
    <t>Guiseley and Rawdon</t>
  </si>
  <si>
    <t>E05001425</t>
  </si>
  <si>
    <t>Harewood</t>
  </si>
  <si>
    <t>E05001426</t>
  </si>
  <si>
    <t>Headingley</t>
  </si>
  <si>
    <t>E05001427</t>
  </si>
  <si>
    <t>Horsforth</t>
  </si>
  <si>
    <t>E05001428</t>
  </si>
  <si>
    <t>Hyde Park and Woodhouse</t>
  </si>
  <si>
    <t>E05001429</t>
  </si>
  <si>
    <t>Killingbeck and Seacroft</t>
  </si>
  <si>
    <t>E05001430</t>
  </si>
  <si>
    <t>Kippax and Methley</t>
  </si>
  <si>
    <t>E05001431</t>
  </si>
  <si>
    <t>Kirkstall</t>
  </si>
  <si>
    <t>E05001432</t>
  </si>
  <si>
    <t>Middleton Park</t>
  </si>
  <si>
    <t>E05001433</t>
  </si>
  <si>
    <t>Moortown</t>
  </si>
  <si>
    <t>E05001434</t>
  </si>
  <si>
    <t>Morley North</t>
  </si>
  <si>
    <t>E05001435</t>
  </si>
  <si>
    <t>Morley South</t>
  </si>
  <si>
    <t>E05001436</t>
  </si>
  <si>
    <t>Otley and Yeadon</t>
  </si>
  <si>
    <t>E05001437</t>
  </si>
  <si>
    <t>Pudsey</t>
  </si>
  <si>
    <t>E05001438</t>
  </si>
  <si>
    <t>E05001439</t>
  </si>
  <si>
    <t>Roundhay</t>
  </si>
  <si>
    <t>E05001440</t>
  </si>
  <si>
    <t>Temple Newsam</t>
  </si>
  <si>
    <t>E05001441</t>
  </si>
  <si>
    <t>Weetwood</t>
  </si>
  <si>
    <t>E05001442</t>
  </si>
  <si>
    <t>Wetherby</t>
  </si>
  <si>
    <t>E05001443</t>
  </si>
  <si>
    <t>* as created by The City of Leeds (Electoral Changes) Order 2004</t>
  </si>
  <si>
    <t>CITY OF WAKEFIELD  *</t>
  </si>
  <si>
    <t>Ackworth, North Elmsall and Upton</t>
  </si>
  <si>
    <t>E05001444</t>
  </si>
  <si>
    <t>Airedale and Ferry Fryston</t>
  </si>
  <si>
    <t>E05001445</t>
  </si>
  <si>
    <t>Altofts and Whitwood</t>
  </si>
  <si>
    <t>E05001446</t>
  </si>
  <si>
    <t>Castleford Central and Glasshoughton</t>
  </si>
  <si>
    <t>E05001447</t>
  </si>
  <si>
    <t>Crofton, Ryhill and Walton</t>
  </si>
  <si>
    <t>E05001448</t>
  </si>
  <si>
    <t>Featherstone</t>
  </si>
  <si>
    <t>E05001449</t>
  </si>
  <si>
    <t>Hemsworth</t>
  </si>
  <si>
    <t>E05001450</t>
  </si>
  <si>
    <t>Horbury and South Ossett</t>
  </si>
  <si>
    <t>E05001451</t>
  </si>
  <si>
    <t>Knottingley</t>
  </si>
  <si>
    <t>E05001452</t>
  </si>
  <si>
    <t>E05001453</t>
  </si>
  <si>
    <t>Ossett</t>
  </si>
  <si>
    <t>E05001454</t>
  </si>
  <si>
    <t>Pontefract North</t>
  </si>
  <si>
    <t>E05001455</t>
  </si>
  <si>
    <t>Pontefract South</t>
  </si>
  <si>
    <t>E05001456</t>
  </si>
  <si>
    <t>South Elmsall and South Kirkby</t>
  </si>
  <si>
    <t>E05001457</t>
  </si>
  <si>
    <t>Stanley and Outwood East</t>
  </si>
  <si>
    <t>E05001458</t>
  </si>
  <si>
    <t>Wakefield East</t>
  </si>
  <si>
    <t>E05001459</t>
  </si>
  <si>
    <t>Wakefield North</t>
  </si>
  <si>
    <t>E05001460</t>
  </si>
  <si>
    <t>Wakefield Rural</t>
  </si>
  <si>
    <t>E05001461</t>
  </si>
  <si>
    <t>Wakefield South</t>
  </si>
  <si>
    <t>E05001462</t>
  </si>
  <si>
    <t>Wakefield West</t>
  </si>
  <si>
    <t>E05001463</t>
  </si>
  <si>
    <t>Wrenthorpe and Outwood West</t>
  </si>
  <si>
    <t>E05001464</t>
  </si>
  <si>
    <t>* as created by The City of Wakefield (Electoral Changes) Order 2003</t>
  </si>
  <si>
    <t>Cheshire East *</t>
  </si>
  <si>
    <t>Cheshire West and Chester *</t>
  </si>
  <si>
    <t>Halton *</t>
  </si>
  <si>
    <t>Warrington *</t>
  </si>
  <si>
    <t>CHESHIRE, HALTON &amp; WARRINGTON</t>
  </si>
  <si>
    <t>Allerdale</t>
  </si>
  <si>
    <t>Barrow-in-Furness</t>
  </si>
  <si>
    <t>Carlisle</t>
  </si>
  <si>
    <t>Copeland</t>
  </si>
  <si>
    <t>Eden</t>
  </si>
  <si>
    <t>South Lakeland</t>
  </si>
  <si>
    <t>CUMBRIA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</si>
  <si>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</si>
  <si>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</si>
  <si>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</si>
  <si>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</si>
  <si>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</si>
  <si>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</si>
  <si>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</si>
  <si>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</si>
  <si>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</si>
  <si>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</si>
  <si>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GREATER MANCHESTER</t>
  </si>
  <si>
    <t>Burnley</t>
  </si>
  <si>
    <t>Chorley</t>
  </si>
  <si>
    <t>Fylde</t>
  </si>
  <si>
    <t>Hyndburn</t>
  </si>
  <si>
    <t>Lancaster</t>
  </si>
  <si>
    <t>Pendle</t>
  </si>
  <si>
    <t>Ribble Valley</t>
  </si>
  <si>
    <t>Rossendale</t>
  </si>
  <si>
    <t>South Ribble</t>
  </si>
  <si>
    <t>West Lancashire</t>
  </si>
  <si>
    <t>Wyre</t>
  </si>
  <si>
    <t>LANCASHIRE</t>
  </si>
  <si>
    <t>Blackburn with Darwen *</t>
  </si>
  <si>
    <t>Blackpool *</t>
  </si>
  <si>
    <t>LANCASHIRE, BLACKBURN &amp; BLACKPOOL</t>
  </si>
  <si>
    <t>Knowsley</t>
  </si>
  <si>
    <t>Liverpool</t>
  </si>
  <si>
    <t>Sefton</t>
  </si>
  <si>
    <t>Wirral</t>
  </si>
  <si>
    <t>MERSEYSIDE</t>
  </si>
  <si>
    <t>NORTH WEST REGION</t>
  </si>
  <si>
    <t>CHESHIRE EAST BOROUGH  #</t>
  </si>
  <si>
    <t>CHESHIRE WEST AND CHESTER BOROUGH  #</t>
  </si>
  <si>
    <t>HALTON BOROUGH  *</t>
  </si>
  <si>
    <t>WARRINGTON BOROUGH  *</t>
  </si>
  <si>
    <t>Altrincham and Tatton Park CC</t>
  </si>
  <si>
    <t>Cheshire East (pt)</t>
  </si>
  <si>
    <t>Trafford (pt)</t>
  </si>
  <si>
    <t>Bramhall and Poynton CC</t>
  </si>
  <si>
    <t>Stockport (pt)</t>
  </si>
  <si>
    <t>City of Chester CC</t>
  </si>
  <si>
    <t>Cheshire West and Chester (pt)</t>
  </si>
  <si>
    <t>Congleton CC</t>
  </si>
  <si>
    <t>Crewe and Nantwich CC</t>
  </si>
  <si>
    <t>Eddisbury and Northwich CC</t>
  </si>
  <si>
    <t>Ellesmere Port and Neston CC</t>
  </si>
  <si>
    <t>Wirral (pt)</t>
  </si>
  <si>
    <t>Halton BC</t>
  </si>
  <si>
    <t>Halton (pt)</t>
  </si>
  <si>
    <t>Macclesfield CC</t>
  </si>
  <si>
    <t>Warrington North BC</t>
  </si>
  <si>
    <t>Warrington (pt)</t>
  </si>
  <si>
    <t>Warrington South BC</t>
  </si>
  <si>
    <t>Weaver Vale CC</t>
  </si>
  <si>
    <t>* as created by The Cheshire (Boroughs of Halton and Warrington) (Structural Change) Order 1996</t>
  </si>
  <si>
    <t># as created by The Cheshire (Structural Changes) Order 2008</t>
  </si>
  <si>
    <t>CHESHIRE EAST BOROUGH  *</t>
  </si>
  <si>
    <t>Alderley Edge</t>
  </si>
  <si>
    <t>E05008610</t>
  </si>
  <si>
    <t>Alsager</t>
  </si>
  <si>
    <t>E05008611</t>
  </si>
  <si>
    <t>Audlem</t>
  </si>
  <si>
    <t>E05008612</t>
  </si>
  <si>
    <t>Bollington</t>
  </si>
  <si>
    <t>E05008613</t>
  </si>
  <si>
    <t>Brereton Rural</t>
  </si>
  <si>
    <t>E05008614</t>
  </si>
  <si>
    <t>Broken Cross and Upton</t>
  </si>
  <si>
    <t>E05008615</t>
  </si>
  <si>
    <t>Bunbury</t>
  </si>
  <si>
    <t>E05008616</t>
  </si>
  <si>
    <t>Chelford</t>
  </si>
  <si>
    <t>E05008617</t>
  </si>
  <si>
    <t>Congleton East</t>
  </si>
  <si>
    <t>E05008618</t>
  </si>
  <si>
    <t>Congleton West</t>
  </si>
  <si>
    <t>E05008619</t>
  </si>
  <si>
    <t>Crewe Central</t>
  </si>
  <si>
    <t>E05008620</t>
  </si>
  <si>
    <t>Crewe East</t>
  </si>
  <si>
    <t>E05008621</t>
  </si>
  <si>
    <t>Crewe North</t>
  </si>
  <si>
    <t>E05008622</t>
  </si>
  <si>
    <t>Crewe St Barnabas</t>
  </si>
  <si>
    <t>E05008623</t>
  </si>
  <si>
    <t>Crewe South</t>
  </si>
  <si>
    <t>E05008624</t>
  </si>
  <si>
    <t>Crewe West</t>
  </si>
  <si>
    <t>E05008625</t>
  </si>
  <si>
    <t>Dane Valley</t>
  </si>
  <si>
    <t>E05008626</t>
  </si>
  <si>
    <t>Disley</t>
  </si>
  <si>
    <t>E05008627</t>
  </si>
  <si>
    <t>Gawsworth</t>
  </si>
  <si>
    <t>E05008628</t>
  </si>
  <si>
    <t>Handforth</t>
  </si>
  <si>
    <t>E05008629</t>
  </si>
  <si>
    <t>Haslington</t>
  </si>
  <si>
    <t>E05008630</t>
  </si>
  <si>
    <t>High Legh</t>
  </si>
  <si>
    <t>E05008631</t>
  </si>
  <si>
    <t>Knutsford</t>
  </si>
  <si>
    <t>E05008632</t>
  </si>
  <si>
    <t>Leighton</t>
  </si>
  <si>
    <t>E05008633</t>
  </si>
  <si>
    <t>Macclesfield Central</t>
  </si>
  <si>
    <t>E05008634</t>
  </si>
  <si>
    <t>Macclesfield East</t>
  </si>
  <si>
    <t>E05008635</t>
  </si>
  <si>
    <t>Macclesfield Hurdsfield</t>
  </si>
  <si>
    <t>E05008636</t>
  </si>
  <si>
    <t>Macclesfield South</t>
  </si>
  <si>
    <t>E05008637</t>
  </si>
  <si>
    <t>Macclesfield Tytherington</t>
  </si>
  <si>
    <t>E05008638</t>
  </si>
  <si>
    <t>Macclesfield West and Ivy</t>
  </si>
  <si>
    <t>E05008639</t>
  </si>
  <si>
    <t>Middlewich</t>
  </si>
  <si>
    <t>E05008640</t>
  </si>
  <si>
    <t>Mobberley</t>
  </si>
  <si>
    <t>E05008641</t>
  </si>
  <si>
    <t>Nantwich North and West</t>
  </si>
  <si>
    <t>E05008642</t>
  </si>
  <si>
    <t>Nantwich South and Stapeley</t>
  </si>
  <si>
    <t>E05008643</t>
  </si>
  <si>
    <t>Odd Rode</t>
  </si>
  <si>
    <t>E05008644</t>
  </si>
  <si>
    <t>Poynton East and Pott Shrigley</t>
  </si>
  <si>
    <t>E05008645</t>
  </si>
  <si>
    <t>Poynton West and Adlington</t>
  </si>
  <si>
    <t>E05008646</t>
  </si>
  <si>
    <t>E05008647</t>
  </si>
  <si>
    <t>Sandbach Elworth</t>
  </si>
  <si>
    <t>E05008648</t>
  </si>
  <si>
    <t>Sandbach Ettiley Heath and Wheelock</t>
  </si>
  <si>
    <t>E05008649</t>
  </si>
  <si>
    <t>Sandbach Heath and East</t>
  </si>
  <si>
    <t>E05008650</t>
  </si>
  <si>
    <t>Sandbach Town</t>
  </si>
  <si>
    <t>E05008651</t>
  </si>
  <si>
    <t>Shavington</t>
  </si>
  <si>
    <t>E05008652</t>
  </si>
  <si>
    <t>E05008653</t>
  </si>
  <si>
    <t>Willaston and Rope</t>
  </si>
  <si>
    <t>E05008654</t>
  </si>
  <si>
    <t>Wilmslow Dean Row</t>
  </si>
  <si>
    <t>E05008655</t>
  </si>
  <si>
    <t>Wilmslow East</t>
  </si>
  <si>
    <t>E05008656</t>
  </si>
  <si>
    <t>Wilmslow Lacey Green</t>
  </si>
  <si>
    <t>E05008657</t>
  </si>
  <si>
    <t>Wilmslow West and Chorley</t>
  </si>
  <si>
    <t>E05008658</t>
  </si>
  <si>
    <t>Wistaston</t>
  </si>
  <si>
    <t>E05008659</t>
  </si>
  <si>
    <t>Wrenbury</t>
  </si>
  <si>
    <t>E05008660</t>
  </si>
  <si>
    <t>Wybunbury</t>
  </si>
  <si>
    <t>E05008661</t>
  </si>
  <si>
    <t>Altrincham and Tatton Park CC (pt)</t>
  </si>
  <si>
    <t>Bramhall and Poynton CC (pt)</t>
  </si>
  <si>
    <t>Eddisbury and Northwich CC (pt)</t>
  </si>
  <si>
    <t>* as created by The Cheshire East (Electoral Changes) Order 2011</t>
  </si>
  <si>
    <t>CHESHIRE WEST AND CHESTER BOROUGH  *</t>
  </si>
  <si>
    <t>Blacon</t>
  </si>
  <si>
    <t>E05008662</t>
  </si>
  <si>
    <t>E05008663</t>
  </si>
  <si>
    <t>Chester City</t>
  </si>
  <si>
    <t>E05008664</t>
  </si>
  <si>
    <t>Chester Villages</t>
  </si>
  <si>
    <t>E05008665</t>
  </si>
  <si>
    <t>Davenham and Moulton</t>
  </si>
  <si>
    <t>E05008666</t>
  </si>
  <si>
    <t>Dodleston and Huntington</t>
  </si>
  <si>
    <t>E05008667</t>
  </si>
  <si>
    <t>Ellesmere Port Town</t>
  </si>
  <si>
    <t>E05008668</t>
  </si>
  <si>
    <t>Elton</t>
  </si>
  <si>
    <t>E05008669</t>
  </si>
  <si>
    <t>Farndon</t>
  </si>
  <si>
    <t>E05008670</t>
  </si>
  <si>
    <t>Frodsham</t>
  </si>
  <si>
    <t>E05008671</t>
  </si>
  <si>
    <t>Garden Quarter</t>
  </si>
  <si>
    <t>E05008672</t>
  </si>
  <si>
    <t>Gowy</t>
  </si>
  <si>
    <t>E05008673</t>
  </si>
  <si>
    <t>E05008674</t>
  </si>
  <si>
    <t>Great Boughton</t>
  </si>
  <si>
    <t>E05008675</t>
  </si>
  <si>
    <t>Handbridge Park</t>
  </si>
  <si>
    <t>E05008676</t>
  </si>
  <si>
    <t>Hartford and Greenbank</t>
  </si>
  <si>
    <t>E05008677</t>
  </si>
  <si>
    <t>Helsby</t>
  </si>
  <si>
    <t>E05008678</t>
  </si>
  <si>
    <t>Hoole</t>
  </si>
  <si>
    <t>E05008679</t>
  </si>
  <si>
    <t>E05008680</t>
  </si>
  <si>
    <t>Lache</t>
  </si>
  <si>
    <t>E05008681</t>
  </si>
  <si>
    <t>Ledsham and Manor</t>
  </si>
  <si>
    <t>E05008682</t>
  </si>
  <si>
    <t>Little Neston and Burton</t>
  </si>
  <si>
    <t>E05008683</t>
  </si>
  <si>
    <t>Malpas</t>
  </si>
  <si>
    <t>E05008684</t>
  </si>
  <si>
    <t>Marbury</t>
  </si>
  <si>
    <t>E05008685</t>
  </si>
  <si>
    <t>Neston</t>
  </si>
  <si>
    <t>E05008686</t>
  </si>
  <si>
    <t>Netherpool</t>
  </si>
  <si>
    <t>E05008687</t>
  </si>
  <si>
    <t>E05008688</t>
  </si>
  <si>
    <t>Parkgate</t>
  </si>
  <si>
    <t>E05008689</t>
  </si>
  <si>
    <t>Rossmore</t>
  </si>
  <si>
    <t>E05008690</t>
  </si>
  <si>
    <t>E05008691</t>
  </si>
  <si>
    <t>Saughall and Mollington</t>
  </si>
  <si>
    <t>E05008692</t>
  </si>
  <si>
    <t>Shakerley</t>
  </si>
  <si>
    <t>E05008693</t>
  </si>
  <si>
    <t>Strawberry</t>
  </si>
  <si>
    <t>E05008694</t>
  </si>
  <si>
    <t>E05008695</t>
  </si>
  <si>
    <t>Tarporley</t>
  </si>
  <si>
    <t>E05008696</t>
  </si>
  <si>
    <t>Tarvin and Kelsall</t>
  </si>
  <si>
    <t>E05008697</t>
  </si>
  <si>
    <t>Tattenhall</t>
  </si>
  <si>
    <t>E05008698</t>
  </si>
  <si>
    <t>E05008699</t>
  </si>
  <si>
    <t>Weaver and Cuddington</t>
  </si>
  <si>
    <t>E05008700</t>
  </si>
  <si>
    <t>Whitby</t>
  </si>
  <si>
    <t>E05008701</t>
  </si>
  <si>
    <t>Willaston and Thornton</t>
  </si>
  <si>
    <t>E05008702</t>
  </si>
  <si>
    <t>Winnington and Castle</t>
  </si>
  <si>
    <t>E05008703</t>
  </si>
  <si>
    <t>Winsford Over and Verdin</t>
  </si>
  <si>
    <t>E05008704</t>
  </si>
  <si>
    <t>Winsford Swanlow and Dene</t>
  </si>
  <si>
    <t>E05008705</t>
  </si>
  <si>
    <t>Winsford Wharton</t>
  </si>
  <si>
    <t>E05008706</t>
  </si>
  <si>
    <t>Witton and Rudheath</t>
  </si>
  <si>
    <t>E05008707</t>
  </si>
  <si>
    <t>Tatton CC (pt)</t>
  </si>
  <si>
    <t>Weaver Vale CC (pt)</t>
  </si>
  <si>
    <t>* as created by The Cheshire West and Chester (Electoral Changes) Order 2011</t>
  </si>
  <si>
    <t>E05001577</t>
  </si>
  <si>
    <t>Beechwood</t>
  </si>
  <si>
    <t>E05001578</t>
  </si>
  <si>
    <t>Birchfield</t>
  </si>
  <si>
    <t>E05001579</t>
  </si>
  <si>
    <t>E05001580</t>
  </si>
  <si>
    <t>Halton Castle</t>
  </si>
  <si>
    <t>E05001581</t>
  </si>
  <si>
    <t>Daresbury</t>
  </si>
  <si>
    <t>E05001582</t>
  </si>
  <si>
    <t>Ditton</t>
  </si>
  <si>
    <t>E05001583</t>
  </si>
  <si>
    <t>Farnworth</t>
  </si>
  <si>
    <t>E05001584</t>
  </si>
  <si>
    <t>E05001585</t>
  </si>
  <si>
    <t>E05001586</t>
  </si>
  <si>
    <t>Halton Brook</t>
  </si>
  <si>
    <t>E05001587</t>
  </si>
  <si>
    <t>Halton Lea</t>
  </si>
  <si>
    <t>E05001588</t>
  </si>
  <si>
    <t>Halton View</t>
  </si>
  <si>
    <t>E05001589</t>
  </si>
  <si>
    <t>E05001590</t>
  </si>
  <si>
    <t>Hough Green</t>
  </si>
  <si>
    <t>E05001591</t>
  </si>
  <si>
    <t>E05001592</t>
  </si>
  <si>
    <t>Mersey</t>
  </si>
  <si>
    <t>E05001593</t>
  </si>
  <si>
    <t>E05001594</t>
  </si>
  <si>
    <t>E05001595</t>
  </si>
  <si>
    <t>E05001596</t>
  </si>
  <si>
    <t>E05001597</t>
  </si>
  <si>
    <t>* as created by The Borough of Halton (Electoral Changes) Order 2002</t>
  </si>
  <si>
    <t>E05001598</t>
  </si>
  <si>
    <t>Bewsey and Whitecross</t>
  </si>
  <si>
    <t>E05001599</t>
  </si>
  <si>
    <t>E05001600</t>
  </si>
  <si>
    <t>Burtonwood and Winwick</t>
  </si>
  <si>
    <t>E05001601</t>
  </si>
  <si>
    <t>Culcheth, Glazebury and Croft</t>
  </si>
  <si>
    <t>E05001602</t>
  </si>
  <si>
    <t>Fairfield and Howley</t>
  </si>
  <si>
    <t>E05001603</t>
  </si>
  <si>
    <t>Grappenhall and Thelwall</t>
  </si>
  <si>
    <t>E05001604</t>
  </si>
  <si>
    <t>Great Sankey North</t>
  </si>
  <si>
    <t>E05001605</t>
  </si>
  <si>
    <t>Great Sankey South</t>
  </si>
  <si>
    <t>E05001606</t>
  </si>
  <si>
    <t>Hatton, Stretton and Walton</t>
  </si>
  <si>
    <t>E05001607</t>
  </si>
  <si>
    <t>Latchford East</t>
  </si>
  <si>
    <t>E05001608</t>
  </si>
  <si>
    <t>Latchford West</t>
  </si>
  <si>
    <t>E05001609</t>
  </si>
  <si>
    <t>Lymm</t>
  </si>
  <si>
    <t>E05001610</t>
  </si>
  <si>
    <t>Orford</t>
  </si>
  <si>
    <t>E05001611</t>
  </si>
  <si>
    <t>Penketh and Cuerdley</t>
  </si>
  <si>
    <t>E05001612</t>
  </si>
  <si>
    <t>Poplars and Hulme</t>
  </si>
  <si>
    <t>E05001613</t>
  </si>
  <si>
    <t>Poulton North</t>
  </si>
  <si>
    <t>E05001614</t>
  </si>
  <si>
    <t>Poulton South</t>
  </si>
  <si>
    <t>E05001615</t>
  </si>
  <si>
    <t>Rixton and Woolston</t>
  </si>
  <si>
    <t>E05001616</t>
  </si>
  <si>
    <t>Stockton Heath</t>
  </si>
  <si>
    <t>E05001617</t>
  </si>
  <si>
    <t>Westbrook</t>
  </si>
  <si>
    <t>E05001618</t>
  </si>
  <si>
    <t>Whittle Hall</t>
  </si>
  <si>
    <t>E05001619</t>
  </si>
  <si>
    <t>* as created by The Borough of Warrington (Electoral Changes) Order 2002</t>
  </si>
  <si>
    <t>ALLERDALE BOROUGH</t>
  </si>
  <si>
    <t>BARROW-IN-FURNESS BOROUGH</t>
  </si>
  <si>
    <t>CITY OF CARLISLE</t>
  </si>
  <si>
    <t>COPELAND BOROUGH</t>
  </si>
  <si>
    <t>EDEN DISTRICT</t>
  </si>
  <si>
    <t>SOUTH LAKELAND DISTRICT</t>
  </si>
  <si>
    <t>Barrow and Furness CC</t>
  </si>
  <si>
    <t>Copeland (pt)</t>
  </si>
  <si>
    <t>South Lakeland (pt)</t>
  </si>
  <si>
    <t>Carlisle CC</t>
  </si>
  <si>
    <t>Penrith and Solway CC</t>
  </si>
  <si>
    <t>Allerdale (pt)</t>
  </si>
  <si>
    <t>Eden (pt)</t>
  </si>
  <si>
    <t>Westmorland and Lonsdale CC</t>
  </si>
  <si>
    <t>Workington and Whitehaven CC</t>
  </si>
  <si>
    <t>ALLERDALE BOROUGH  *</t>
  </si>
  <si>
    <t>E05003114</t>
  </si>
  <si>
    <t>Aspatria</t>
  </si>
  <si>
    <t>E05003115</t>
  </si>
  <si>
    <t>Boltons</t>
  </si>
  <si>
    <t>E05003116</t>
  </si>
  <si>
    <t>Broughton St Bridget's</t>
  </si>
  <si>
    <t>E05003117</t>
  </si>
  <si>
    <t>E05003118</t>
  </si>
  <si>
    <t>E05003119</t>
  </si>
  <si>
    <t>Crummock</t>
  </si>
  <si>
    <t>E05003120</t>
  </si>
  <si>
    <t>E05003121</t>
  </si>
  <si>
    <t>E05003122</t>
  </si>
  <si>
    <t>Ellen</t>
  </si>
  <si>
    <t>E05003123</t>
  </si>
  <si>
    <t>Ellenborough</t>
  </si>
  <si>
    <t>E05003124</t>
  </si>
  <si>
    <t>Ewanrigg</t>
  </si>
  <si>
    <t>E05003125</t>
  </si>
  <si>
    <t>Flimby</t>
  </si>
  <si>
    <t>E05003126</t>
  </si>
  <si>
    <t>Harrington</t>
  </si>
  <si>
    <t>E05003127</t>
  </si>
  <si>
    <t>Holme</t>
  </si>
  <si>
    <t>E05003128</t>
  </si>
  <si>
    <t>Keswick</t>
  </si>
  <si>
    <t>E05003129</t>
  </si>
  <si>
    <t>Marsh</t>
  </si>
  <si>
    <t>E05003130</t>
  </si>
  <si>
    <t>Moorclose</t>
  </si>
  <si>
    <t>E05003131</t>
  </si>
  <si>
    <t>Moss Bay</t>
  </si>
  <si>
    <t>E05003132</t>
  </si>
  <si>
    <t>Netherhall</t>
  </si>
  <si>
    <t>E05003133</t>
  </si>
  <si>
    <t>E05003134</t>
  </si>
  <si>
    <t>E05003135</t>
  </si>
  <si>
    <t>E05003136</t>
  </si>
  <si>
    <t>Silloth</t>
  </si>
  <si>
    <t>E05003137</t>
  </si>
  <si>
    <t>Solway</t>
  </si>
  <si>
    <t>E05003138</t>
  </si>
  <si>
    <t>Stainburn</t>
  </si>
  <si>
    <t>E05003139</t>
  </si>
  <si>
    <t>Wampool</t>
  </si>
  <si>
    <t>E05003140</t>
  </si>
  <si>
    <t>Warnell</t>
  </si>
  <si>
    <t>E05003141</t>
  </si>
  <si>
    <t>Waver</t>
  </si>
  <si>
    <t>E05003142</t>
  </si>
  <si>
    <t>Wharrels</t>
  </si>
  <si>
    <t>E05003143</t>
  </si>
  <si>
    <t>Wigton</t>
  </si>
  <si>
    <t>E05003144</t>
  </si>
  <si>
    <t>Penrith and Solway CC (pt)</t>
  </si>
  <si>
    <t>Workington and Whitehaven CC (pt)</t>
  </si>
  <si>
    <t>* as created by The Borough of Allerdale (Electoral Changes) Order 1998</t>
  </si>
  <si>
    <t>BARROW-IN-FURNESS BOROUGH  *</t>
  </si>
  <si>
    <t>Barrow Island</t>
  </si>
  <si>
    <t>E05003145</t>
  </si>
  <si>
    <t>E05003146</t>
  </si>
  <si>
    <t>Dalton North</t>
  </si>
  <si>
    <t>E05003147</t>
  </si>
  <si>
    <t>Dalton South</t>
  </si>
  <si>
    <t>E05003148</t>
  </si>
  <si>
    <t>Hawcoat</t>
  </si>
  <si>
    <t>E05003149</t>
  </si>
  <si>
    <t>Hindpool</t>
  </si>
  <si>
    <t>E05003150</t>
  </si>
  <si>
    <t>Newbarns</t>
  </si>
  <si>
    <t>E05003151</t>
  </si>
  <si>
    <t>Ormsgill</t>
  </si>
  <si>
    <t>E05003152</t>
  </si>
  <si>
    <t>E05003153</t>
  </si>
  <si>
    <t>Risedale</t>
  </si>
  <si>
    <t>E05003154</t>
  </si>
  <si>
    <t>Roosecote</t>
  </si>
  <si>
    <t>E05003155</t>
  </si>
  <si>
    <t>Walney North</t>
  </si>
  <si>
    <t>E05003156</t>
  </si>
  <si>
    <t>Walney South</t>
  </si>
  <si>
    <t>E05003157</t>
  </si>
  <si>
    <t>Barrow and Furness CC (pt)</t>
  </si>
  <si>
    <t>* as created by The Borough of Barrow-in-Furness (Electoral Changes) Order 2008</t>
  </si>
  <si>
    <t>CITY OF CARLISLE  *</t>
  </si>
  <si>
    <t>Belah</t>
  </si>
  <si>
    <t>E05003158</t>
  </si>
  <si>
    <t>Carlisle BC</t>
  </si>
  <si>
    <t>E05003159</t>
  </si>
  <si>
    <t>Botcherby</t>
  </si>
  <si>
    <t>E05003160</t>
  </si>
  <si>
    <t>E05003161</t>
  </si>
  <si>
    <t>Burgh</t>
  </si>
  <si>
    <t>E05003162</t>
  </si>
  <si>
    <t>E05003163</t>
  </si>
  <si>
    <t>Currock</t>
  </si>
  <si>
    <t>E05003164</t>
  </si>
  <si>
    <t>E05003165</t>
  </si>
  <si>
    <t>Denton Holme</t>
  </si>
  <si>
    <t>E05003166</t>
  </si>
  <si>
    <t>Great Corby and Geltsdale</t>
  </si>
  <si>
    <t>E05003167</t>
  </si>
  <si>
    <t>Harraby</t>
  </si>
  <si>
    <t>E05003168</t>
  </si>
  <si>
    <t>Hayton</t>
  </si>
  <si>
    <t>E05003169</t>
  </si>
  <si>
    <t>Irthing</t>
  </si>
  <si>
    <t>E05003170</t>
  </si>
  <si>
    <t>Longtown &amp; Rockcliffe</t>
  </si>
  <si>
    <t>E05003171</t>
  </si>
  <si>
    <t>Lyne</t>
  </si>
  <si>
    <t>E05003172</t>
  </si>
  <si>
    <t>E05003173</t>
  </si>
  <si>
    <t>St Aidans</t>
  </si>
  <si>
    <t>E05003174</t>
  </si>
  <si>
    <t>Stanwix Rural</t>
  </si>
  <si>
    <t>E05003175</t>
  </si>
  <si>
    <t>Stanwix Urban</t>
  </si>
  <si>
    <t>E05003176</t>
  </si>
  <si>
    <t>Upperby</t>
  </si>
  <si>
    <t>E05003177</t>
  </si>
  <si>
    <t>Wetheral</t>
  </si>
  <si>
    <t>E05003178</t>
  </si>
  <si>
    <t>Yewdale</t>
  </si>
  <si>
    <t>E05003179</t>
  </si>
  <si>
    <t>* as created by The City of Carlisle (Electoral Changes) Order 1998</t>
  </si>
  <si>
    <t>COPELAND BOROUGH  *</t>
  </si>
  <si>
    <t>Arlecdon</t>
  </si>
  <si>
    <t>E05003180</t>
  </si>
  <si>
    <t>Copeland CC</t>
  </si>
  <si>
    <t>Beckermet</t>
  </si>
  <si>
    <t>E05003181</t>
  </si>
  <si>
    <t>Bootle</t>
  </si>
  <si>
    <t>E05003182</t>
  </si>
  <si>
    <t>Bransty</t>
  </si>
  <si>
    <t>E05003183</t>
  </si>
  <si>
    <t>Cleator Moor North</t>
  </si>
  <si>
    <t>E05003184</t>
  </si>
  <si>
    <t>Cleator Moor South</t>
  </si>
  <si>
    <t>E05003185</t>
  </si>
  <si>
    <t>Distington</t>
  </si>
  <si>
    <t>E05003186</t>
  </si>
  <si>
    <t>Egremont North</t>
  </si>
  <si>
    <t>E05003187</t>
  </si>
  <si>
    <t>Egremont South</t>
  </si>
  <si>
    <t>E05003188</t>
  </si>
  <si>
    <t>Ennerdale</t>
  </si>
  <si>
    <t>E05003189</t>
  </si>
  <si>
    <t>Frizington</t>
  </si>
  <si>
    <t>E05003190</t>
  </si>
  <si>
    <t>Gosforth</t>
  </si>
  <si>
    <t>E05003191</t>
  </si>
  <si>
    <t>E05003192</t>
  </si>
  <si>
    <t>Haverigg</t>
  </si>
  <si>
    <t>E05003193</t>
  </si>
  <si>
    <t>Hensingham</t>
  </si>
  <si>
    <t>E05003194</t>
  </si>
  <si>
    <t>Hillcrest</t>
  </si>
  <si>
    <t>E05003195</t>
  </si>
  <si>
    <t>Holborn Hill</t>
  </si>
  <si>
    <t>E05003196</t>
  </si>
  <si>
    <t>Kells</t>
  </si>
  <si>
    <t>E05003197</t>
  </si>
  <si>
    <t>Millom Without</t>
  </si>
  <si>
    <t>E05003198</t>
  </si>
  <si>
    <t>Mirehouse</t>
  </si>
  <si>
    <t>E05003199</t>
  </si>
  <si>
    <t>Moresby</t>
  </si>
  <si>
    <t>E05003200</t>
  </si>
  <si>
    <t>E05003201</t>
  </si>
  <si>
    <t>St Bees</t>
  </si>
  <si>
    <t>E05003202</t>
  </si>
  <si>
    <t>Sandwith</t>
  </si>
  <si>
    <t>E05003203</t>
  </si>
  <si>
    <t>Seascale</t>
  </si>
  <si>
    <t>E05003204</t>
  </si>
  <si>
    <t>Copeland CC (pt)</t>
  </si>
  <si>
    <t>* as created by The Borough of Copeland (Electoral Changes) Order 1998</t>
  </si>
  <si>
    <t>EDEN DISTRICT  *</t>
  </si>
  <si>
    <t>Alston Moor</t>
  </si>
  <si>
    <t>E05003205</t>
  </si>
  <si>
    <t>Appleby (Appleby)</t>
  </si>
  <si>
    <t>E05003206</t>
  </si>
  <si>
    <t>Appleby (Bongate)</t>
  </si>
  <si>
    <t>E05003207</t>
  </si>
  <si>
    <t>Askham</t>
  </si>
  <si>
    <t>E05003208</t>
  </si>
  <si>
    <t>Brough</t>
  </si>
  <si>
    <t>E05003209</t>
  </si>
  <si>
    <t>Crosby Ravensworth</t>
  </si>
  <si>
    <t>E05003210</t>
  </si>
  <si>
    <t>Dacre</t>
  </si>
  <si>
    <t>E05003211</t>
  </si>
  <si>
    <t>Eamont</t>
  </si>
  <si>
    <t>E05003212</t>
  </si>
  <si>
    <t>Greystoke</t>
  </si>
  <si>
    <t>E05003213</t>
  </si>
  <si>
    <t>Hartside</t>
  </si>
  <si>
    <t>E05003214</t>
  </si>
  <si>
    <t>Hesket</t>
  </si>
  <si>
    <t>E05003215</t>
  </si>
  <si>
    <t>Kirkby Stephen</t>
  </si>
  <si>
    <t>E05003216</t>
  </si>
  <si>
    <t>Kirkby Thore</t>
  </si>
  <si>
    <t>E05003217</t>
  </si>
  <si>
    <t>Kirkoswald</t>
  </si>
  <si>
    <t>E05003218</t>
  </si>
  <si>
    <t>Langwathby</t>
  </si>
  <si>
    <t>E05003219</t>
  </si>
  <si>
    <t>Lazonby</t>
  </si>
  <si>
    <t>E05003220</t>
  </si>
  <si>
    <t>Long Marton</t>
  </si>
  <si>
    <t>E05003221</t>
  </si>
  <si>
    <t>Morland</t>
  </si>
  <si>
    <t>E05003222</t>
  </si>
  <si>
    <t>Orton with Tebay</t>
  </si>
  <si>
    <t>E05003223</t>
  </si>
  <si>
    <t>Penrith Carleton</t>
  </si>
  <si>
    <t>E05003224</t>
  </si>
  <si>
    <t>Penrith East</t>
  </si>
  <si>
    <t>E05003225</t>
  </si>
  <si>
    <t>Penrith North</t>
  </si>
  <si>
    <t>E05003226</t>
  </si>
  <si>
    <t>Penrith Pategill</t>
  </si>
  <si>
    <t>E05003227</t>
  </si>
  <si>
    <t>Penrith South</t>
  </si>
  <si>
    <t>E05003228</t>
  </si>
  <si>
    <t>Penrith West</t>
  </si>
  <si>
    <t>E05003229</t>
  </si>
  <si>
    <t>Ravenstonedale</t>
  </si>
  <si>
    <t>E05003230</t>
  </si>
  <si>
    <t>Shap</t>
  </si>
  <si>
    <t>E05003231</t>
  </si>
  <si>
    <t>E05003232</t>
  </si>
  <si>
    <t>Ullswater</t>
  </si>
  <si>
    <t>E05003233</t>
  </si>
  <si>
    <t>Warcop</t>
  </si>
  <si>
    <t>E05003234</t>
  </si>
  <si>
    <t>Westmorland and Lonsdale CC (pt)</t>
  </si>
  <si>
    <t>* as created by The District of Eden (Electoral Changes) Order 1998</t>
  </si>
  <si>
    <t>SOUTH LAKELAND DISTRICT  *</t>
  </si>
  <si>
    <t>Ambleside and Grasmere</t>
  </si>
  <si>
    <t>E05003235</t>
  </si>
  <si>
    <t>Arnside and Beetham</t>
  </si>
  <si>
    <t>E05003236</t>
  </si>
  <si>
    <t>Broughton</t>
  </si>
  <si>
    <t>E05003237</t>
  </si>
  <si>
    <t>Burneside</t>
  </si>
  <si>
    <t>E05003238</t>
  </si>
  <si>
    <t>Burton and Holme</t>
  </si>
  <si>
    <t>E05003239</t>
  </si>
  <si>
    <t>Cartmel and Grange West</t>
  </si>
  <si>
    <t>E05003240</t>
  </si>
  <si>
    <t>Coniston and Crake Valley</t>
  </si>
  <si>
    <t>E05003241</t>
  </si>
  <si>
    <t>Crooklands</t>
  </si>
  <si>
    <t>E05003242</t>
  </si>
  <si>
    <t>Grange North</t>
  </si>
  <si>
    <t>E05003243</t>
  </si>
  <si>
    <t>Grange South</t>
  </si>
  <si>
    <t>E05003244</t>
  </si>
  <si>
    <t>Hawkshead</t>
  </si>
  <si>
    <t>E05003245</t>
  </si>
  <si>
    <t>Holker</t>
  </si>
  <si>
    <t>E05003246</t>
  </si>
  <si>
    <t>Kendal Castle</t>
  </si>
  <si>
    <t>E05003247</t>
  </si>
  <si>
    <t>Kendal Far Cross</t>
  </si>
  <si>
    <t>E05003248</t>
  </si>
  <si>
    <t>Kendal Fell</t>
  </si>
  <si>
    <t>E05003249</t>
  </si>
  <si>
    <t>Kendal Heron Hill</t>
  </si>
  <si>
    <t>E05003250</t>
  </si>
  <si>
    <t>Kendal Highgate</t>
  </si>
  <si>
    <t>E05003251</t>
  </si>
  <si>
    <t>Kendal Kirkland</t>
  </si>
  <si>
    <t>E05003252</t>
  </si>
  <si>
    <t>Kendal Mintsfeet</t>
  </si>
  <si>
    <t>E05003253</t>
  </si>
  <si>
    <t>Kendal Nether</t>
  </si>
  <si>
    <t>E05003254</t>
  </si>
  <si>
    <t>Kendal Oxenholme and Natland</t>
  </si>
  <si>
    <t>E05003255</t>
  </si>
  <si>
    <t>Kendal Parks</t>
  </si>
  <si>
    <t>E05003256</t>
  </si>
  <si>
    <t>Kendal Romney</t>
  </si>
  <si>
    <t>E05003257</t>
  </si>
  <si>
    <t>Kendal Stonecross</t>
  </si>
  <si>
    <t>E05003258</t>
  </si>
  <si>
    <t>Kendal Strickland</t>
  </si>
  <si>
    <t>E05003259</t>
  </si>
  <si>
    <t>Kendal Underley</t>
  </si>
  <si>
    <t>E05003260</t>
  </si>
  <si>
    <t>Levens</t>
  </si>
  <si>
    <t>E05003261</t>
  </si>
  <si>
    <t>Low Furness</t>
  </si>
  <si>
    <t>E05003262</t>
  </si>
  <si>
    <t>Lyth Valley</t>
  </si>
  <si>
    <t>E05003263</t>
  </si>
  <si>
    <t>Mid Furness</t>
  </si>
  <si>
    <t>E05003264</t>
  </si>
  <si>
    <t>Milnthorpe</t>
  </si>
  <si>
    <t>E05003265</t>
  </si>
  <si>
    <t>Sedbergh and Kirkby Lonsdale</t>
  </si>
  <si>
    <t>E05003266</t>
  </si>
  <si>
    <t>Staveley-in-Cartmel</t>
  </si>
  <si>
    <t>E05003267</t>
  </si>
  <si>
    <t>Staveley-in-Westmorland</t>
  </si>
  <si>
    <t>E05003268</t>
  </si>
  <si>
    <t>Ulverston Central</t>
  </si>
  <si>
    <t>E05003269</t>
  </si>
  <si>
    <t>Ulverston East</t>
  </si>
  <si>
    <t>E05003270</t>
  </si>
  <si>
    <t>Ulverston North</t>
  </si>
  <si>
    <t>E05003271</t>
  </si>
  <si>
    <t>Ulverston South</t>
  </si>
  <si>
    <t>E05003272</t>
  </si>
  <si>
    <t>Ulverston Town</t>
  </si>
  <si>
    <t>E05003273</t>
  </si>
  <si>
    <t>Ulverston West</t>
  </si>
  <si>
    <t>E05003274</t>
  </si>
  <si>
    <t>Whinfell</t>
  </si>
  <si>
    <t>E05003275</t>
  </si>
  <si>
    <t>Windermere Applethwaite and Troutbeck</t>
  </si>
  <si>
    <t>E05003276</t>
  </si>
  <si>
    <t>Windermere Bowness North</t>
  </si>
  <si>
    <t>E05003277</t>
  </si>
  <si>
    <t>Windermere Bowness South</t>
  </si>
  <si>
    <t>E05003278</t>
  </si>
  <si>
    <t>Windermere Town</t>
  </si>
  <si>
    <t>E05003279</t>
  </si>
  <si>
    <t>* as created by The District of South Lakeland (Electoral Changes) Order 2008</t>
  </si>
  <si>
    <t>BOLTON BOROUGH</t>
  </si>
  <si>
    <t>BURY BOROUGH</t>
  </si>
  <si>
    <t>CITY OF MANCHESTER</t>
  </si>
  <si>
    <t>OLDHAM BOROUGH</t>
  </si>
  <si>
    <t>ROCHDALE BOROUGH</t>
  </si>
  <si>
    <t>CITY OF SALFORD</t>
  </si>
  <si>
    <t>STOCKPORT BOROUGH</t>
  </si>
  <si>
    <t>TAMESIDE BOROUGH</t>
  </si>
  <si>
    <t>TRAFFORD BOROUGH</t>
  </si>
  <si>
    <t>WIGAN BOROUGH</t>
  </si>
  <si>
    <t>Ashton-under-Lyne BC</t>
  </si>
  <si>
    <t>Tameside (pt)</t>
  </si>
  <si>
    <t>Blackley and Broughton BC</t>
  </si>
  <si>
    <t>Manchester (pt)</t>
  </si>
  <si>
    <t>Salford (pt)</t>
  </si>
  <si>
    <t>Bolton North East BC</t>
  </si>
  <si>
    <t>Bolton (pt)</t>
  </si>
  <si>
    <t>Bolton West CC</t>
  </si>
  <si>
    <t>Wigan (pt)</t>
  </si>
  <si>
    <t>Bury BC</t>
  </si>
  <si>
    <t>Bury (pt)</t>
  </si>
  <si>
    <t>Failsworth and Droylsden BC</t>
  </si>
  <si>
    <t>Oldham (pt)</t>
  </si>
  <si>
    <t>Farnworth BC</t>
  </si>
  <si>
    <t>Leigh CC</t>
  </si>
  <si>
    <t>Littleborough and Saddleworth CC</t>
  </si>
  <si>
    <t>Rochdale (pt)</t>
  </si>
  <si>
    <t>Makerfield CC</t>
  </si>
  <si>
    <t>Manchester Central BC</t>
  </si>
  <si>
    <t>Manchester Gorton BC</t>
  </si>
  <si>
    <t>Manchester Withington BC</t>
  </si>
  <si>
    <t>Marple and Hyde CC</t>
  </si>
  <si>
    <t>Oldham BC</t>
  </si>
  <si>
    <t>Prestwich and Middleton BC</t>
  </si>
  <si>
    <t>Rochdale CC</t>
  </si>
  <si>
    <t>Salford and Eccles BC</t>
  </si>
  <si>
    <t>Stockport North and Denton BC</t>
  </si>
  <si>
    <t>Stockport South and Cheadle BC</t>
  </si>
  <si>
    <t>Stretford and Urmston BC</t>
  </si>
  <si>
    <t>Wigan CC</t>
  </si>
  <si>
    <t>Worsley and Eccles South CC</t>
  </si>
  <si>
    <t>Wythenshawe and Sale East BC</t>
  </si>
  <si>
    <t>BOLTON BOROUGH  *</t>
  </si>
  <si>
    <t>Astley Bridge</t>
  </si>
  <si>
    <t>E05000650</t>
  </si>
  <si>
    <t>Bradshaw</t>
  </si>
  <si>
    <t>E05000651</t>
  </si>
  <si>
    <t>Breightmet</t>
  </si>
  <si>
    <t>E05000652</t>
  </si>
  <si>
    <t>Bromley Cross</t>
  </si>
  <si>
    <t>E05000653</t>
  </si>
  <si>
    <t>Crompton</t>
  </si>
  <si>
    <t>E05000654</t>
  </si>
  <si>
    <t>E05000655</t>
  </si>
  <si>
    <t>Great Lever</t>
  </si>
  <si>
    <t>E05000656</t>
  </si>
  <si>
    <t>Halliwell</t>
  </si>
  <si>
    <t>E05000657</t>
  </si>
  <si>
    <t>Harper Green</t>
  </si>
  <si>
    <t>E05000658</t>
  </si>
  <si>
    <t>Heaton and Lostock</t>
  </si>
  <si>
    <t>E05000659</t>
  </si>
  <si>
    <t>Horwich and Blackrod</t>
  </si>
  <si>
    <t>E05000660</t>
  </si>
  <si>
    <t>Horwich North East</t>
  </si>
  <si>
    <t>E05000661</t>
  </si>
  <si>
    <t>Hulton</t>
  </si>
  <si>
    <t>E05000662</t>
  </si>
  <si>
    <t>Kearsley</t>
  </si>
  <si>
    <t>E05000663</t>
  </si>
  <si>
    <t>Little Lever and Darcy Lever</t>
  </si>
  <si>
    <t>E05000664</t>
  </si>
  <si>
    <t>Rumworth</t>
  </si>
  <si>
    <t>E05000665</t>
  </si>
  <si>
    <t>Smithills</t>
  </si>
  <si>
    <t>E05000666</t>
  </si>
  <si>
    <t>Tonge with the Haulgh</t>
  </si>
  <si>
    <t>E05000667</t>
  </si>
  <si>
    <t>Westhoughton North and Chew Moor</t>
  </si>
  <si>
    <t>E05000668</t>
  </si>
  <si>
    <t>Westhoughton South</t>
  </si>
  <si>
    <t>E05000669</t>
  </si>
  <si>
    <t>Bolton West CC (pt)</t>
  </si>
  <si>
    <t>Farnworth BC (pt)</t>
  </si>
  <si>
    <t>* as created by The Borough of Bolton (Electoral Changes) Order 2004</t>
  </si>
  <si>
    <t>BURY BOROUGH  *</t>
  </si>
  <si>
    <t>Besses</t>
  </si>
  <si>
    <t>E05000670</t>
  </si>
  <si>
    <t>Church</t>
  </si>
  <si>
    <t>E05000671</t>
  </si>
  <si>
    <t>E05000672</t>
  </si>
  <si>
    <t>E05000673</t>
  </si>
  <si>
    <t>Holyrood</t>
  </si>
  <si>
    <t>E05000674</t>
  </si>
  <si>
    <t>Moorside</t>
  </si>
  <si>
    <t>E05000675</t>
  </si>
  <si>
    <t>North Manor</t>
  </si>
  <si>
    <t>E05000676</t>
  </si>
  <si>
    <t>Pilkington Park</t>
  </si>
  <si>
    <t>E05000677</t>
  </si>
  <si>
    <t>Radcliffe East</t>
  </si>
  <si>
    <t>E05000678</t>
  </si>
  <si>
    <t>Radcliffe North</t>
  </si>
  <si>
    <t>E05000679</t>
  </si>
  <si>
    <t>Radcliffe West</t>
  </si>
  <si>
    <t>E05000680</t>
  </si>
  <si>
    <t>Ramsbottom</t>
  </si>
  <si>
    <t>E05000681</t>
  </si>
  <si>
    <t>Redvales</t>
  </si>
  <si>
    <t>E05000682</t>
  </si>
  <si>
    <t>E05000683</t>
  </si>
  <si>
    <t>E05000684</t>
  </si>
  <si>
    <t>Tottington</t>
  </si>
  <si>
    <t>E05000685</t>
  </si>
  <si>
    <t>Unsworth</t>
  </si>
  <si>
    <t>E05000686</t>
  </si>
  <si>
    <t>Prestwich and Middleton BC (pt)</t>
  </si>
  <si>
    <t>* as created by The Borough of Bury (Electoral Changes) Order 2004</t>
  </si>
  <si>
    <t>CITY OF MANCHESTER  *</t>
  </si>
  <si>
    <t>Ancoats and Clayton</t>
  </si>
  <si>
    <t>E05000687</t>
  </si>
  <si>
    <t>Ardwick</t>
  </si>
  <si>
    <t>E05000688</t>
  </si>
  <si>
    <t>Baguley</t>
  </si>
  <si>
    <t>E05000689</t>
  </si>
  <si>
    <t>E05000690</t>
  </si>
  <si>
    <t>E05000691</t>
  </si>
  <si>
    <t>Burnage</t>
  </si>
  <si>
    <t>E05000692</t>
  </si>
  <si>
    <t>Charlestown</t>
  </si>
  <si>
    <t>E05000693</t>
  </si>
  <si>
    <t>Cheetham</t>
  </si>
  <si>
    <t>E05000694</t>
  </si>
  <si>
    <t>Chorlton</t>
  </si>
  <si>
    <t>E05000695</t>
  </si>
  <si>
    <t>Chorlton Park</t>
  </si>
  <si>
    <t>E05000696</t>
  </si>
  <si>
    <t>City Centre</t>
  </si>
  <si>
    <t>E05000697</t>
  </si>
  <si>
    <t>Crumpsall</t>
  </si>
  <si>
    <t>E05000698</t>
  </si>
  <si>
    <t>Didsbury East</t>
  </si>
  <si>
    <t>E05000699</t>
  </si>
  <si>
    <t>Didsbury West</t>
  </si>
  <si>
    <t>E05000700</t>
  </si>
  <si>
    <t>Fallowfield</t>
  </si>
  <si>
    <t>E05000701</t>
  </si>
  <si>
    <t>Gorton North</t>
  </si>
  <si>
    <t>E05000702</t>
  </si>
  <si>
    <t>Gorton South</t>
  </si>
  <si>
    <t>E05000703</t>
  </si>
  <si>
    <t>Harpurhey</t>
  </si>
  <si>
    <t>E05000704</t>
  </si>
  <si>
    <t>Higher Blackley</t>
  </si>
  <si>
    <t>E05000705</t>
  </si>
  <si>
    <t>Hulme</t>
  </si>
  <si>
    <t>E05000706</t>
  </si>
  <si>
    <t>Levenshulme</t>
  </si>
  <si>
    <t>E05000707</t>
  </si>
  <si>
    <t>Longsight</t>
  </si>
  <si>
    <t>E05000708</t>
  </si>
  <si>
    <t>Miles Platting and Newton Heath</t>
  </si>
  <si>
    <t>E05000709</t>
  </si>
  <si>
    <t>Moss Side</t>
  </si>
  <si>
    <t>E05000710</t>
  </si>
  <si>
    <t>Moston</t>
  </si>
  <si>
    <t>E05000711</t>
  </si>
  <si>
    <t>Northenden</t>
  </si>
  <si>
    <t>E05000712</t>
  </si>
  <si>
    <t>Old Moat</t>
  </si>
  <si>
    <t>E05000713</t>
  </si>
  <si>
    <t>Rusholme</t>
  </si>
  <si>
    <t>E05000714</t>
  </si>
  <si>
    <t>Sharston</t>
  </si>
  <si>
    <t>E05000715</t>
  </si>
  <si>
    <t>Whalley Range</t>
  </si>
  <si>
    <t>E05000716</t>
  </si>
  <si>
    <t>Withington</t>
  </si>
  <si>
    <t>E05000717</t>
  </si>
  <si>
    <t>Woodhouse Park</t>
  </si>
  <si>
    <t>E05000718</t>
  </si>
  <si>
    <t>Blackley and Broughton BC (pt)</t>
  </si>
  <si>
    <t>Oldham BC (pt)</t>
  </si>
  <si>
    <t>Wythenshawe and Sale East BC (pt)</t>
  </si>
  <si>
    <t>* as created by The City of Manchester (Electoral Changes) Order 2004</t>
  </si>
  <si>
    <t>OLDHAM BOROUGH  *</t>
  </si>
  <si>
    <t>E05000719</t>
  </si>
  <si>
    <t>Failsworth and Droyslden BC</t>
  </si>
  <si>
    <t>Chadderton Central</t>
  </si>
  <si>
    <t>E05000720</t>
  </si>
  <si>
    <t>Chadderton North</t>
  </si>
  <si>
    <t>E05000721</t>
  </si>
  <si>
    <t>Chadderton South</t>
  </si>
  <si>
    <t>E05000722</t>
  </si>
  <si>
    <t>Coldhurst</t>
  </si>
  <si>
    <t>E05000723</t>
  </si>
  <si>
    <t>E05000724</t>
  </si>
  <si>
    <t>Failsworth East</t>
  </si>
  <si>
    <t>E05000725</t>
  </si>
  <si>
    <t>Failsworth West</t>
  </si>
  <si>
    <t>E05000726</t>
  </si>
  <si>
    <t>Hollinwood</t>
  </si>
  <si>
    <t>E05000727</t>
  </si>
  <si>
    <t>Medlock Vale</t>
  </si>
  <si>
    <t>E05000728</t>
  </si>
  <si>
    <t>Royton North</t>
  </si>
  <si>
    <t>E05000729</t>
  </si>
  <si>
    <t>Royton South</t>
  </si>
  <si>
    <t>E05000730</t>
  </si>
  <si>
    <t>Saddleworth North</t>
  </si>
  <si>
    <t>E05000731</t>
  </si>
  <si>
    <t>Saddleworth South</t>
  </si>
  <si>
    <t>E05000732</t>
  </si>
  <si>
    <t>Saddleworth West and Lees</t>
  </si>
  <si>
    <t>E05000733</t>
  </si>
  <si>
    <t>St James'</t>
  </si>
  <si>
    <t>E05000734</t>
  </si>
  <si>
    <t>E05000735</t>
  </si>
  <si>
    <t>E05000736</t>
  </si>
  <si>
    <t>Waterhead</t>
  </si>
  <si>
    <t>E05000737</t>
  </si>
  <si>
    <t>Werneth</t>
  </si>
  <si>
    <t>E05000738</t>
  </si>
  <si>
    <t>Failsworth and Droylsden BC (pt)</t>
  </si>
  <si>
    <t>* as created by The Borough of Oldham (Electoral Changes) Order 2004</t>
  </si>
  <si>
    <t>ROCHDALE BOROUGH  *</t>
  </si>
  <si>
    <t>Balderstone and Kirkholt</t>
  </si>
  <si>
    <t>E05000739</t>
  </si>
  <si>
    <t>Bamford</t>
  </si>
  <si>
    <t>E05000740</t>
  </si>
  <si>
    <t>Castleton</t>
  </si>
  <si>
    <t>E05000741</t>
  </si>
  <si>
    <t>Central Rochdale</t>
  </si>
  <si>
    <t>E05000742</t>
  </si>
  <si>
    <t>East Middleton</t>
  </si>
  <si>
    <t>E05000743</t>
  </si>
  <si>
    <t>Healey</t>
  </si>
  <si>
    <t>E05000744</t>
  </si>
  <si>
    <t>Hopwood Hall</t>
  </si>
  <si>
    <t>E05000745</t>
  </si>
  <si>
    <t>E05000746</t>
  </si>
  <si>
    <t>Littleborough Lakeside</t>
  </si>
  <si>
    <t>E05000747</t>
  </si>
  <si>
    <t>Milkstone and Deeplish</t>
  </si>
  <si>
    <t>E05000748</t>
  </si>
  <si>
    <t>Milnrow and Newhey</t>
  </si>
  <si>
    <t>E05000749</t>
  </si>
  <si>
    <t>Norden</t>
  </si>
  <si>
    <t>E05000750</t>
  </si>
  <si>
    <t>North Heywood</t>
  </si>
  <si>
    <t>E05000751</t>
  </si>
  <si>
    <t>North Middleton</t>
  </si>
  <si>
    <t>E05000752</t>
  </si>
  <si>
    <t>Smallbridge and Firgrove</t>
  </si>
  <si>
    <t>E05000753</t>
  </si>
  <si>
    <t>South Middleton</t>
  </si>
  <si>
    <t>E05000754</t>
  </si>
  <si>
    <t>Spotland and Falinge</t>
  </si>
  <si>
    <t>E05000755</t>
  </si>
  <si>
    <t>Wardle and West Littleborough</t>
  </si>
  <si>
    <t>E05000756</t>
  </si>
  <si>
    <t>West Heywood</t>
  </si>
  <si>
    <t>E05000757</t>
  </si>
  <si>
    <t>West Middleton</t>
  </si>
  <si>
    <t>E05000758</t>
  </si>
  <si>
    <t>* as created by The Borough of Rochdale (Electoral Changes) Order 2004</t>
  </si>
  <si>
    <t>CITY OF SALFORD  *</t>
  </si>
  <si>
    <t>E05000759</t>
  </si>
  <si>
    <t>Boothstown and Ellenbrook</t>
  </si>
  <si>
    <t>E05000760</t>
  </si>
  <si>
    <t>E05000761</t>
  </si>
  <si>
    <t>Cadishead</t>
  </si>
  <si>
    <t>E05000762</t>
  </si>
  <si>
    <t>Claremont</t>
  </si>
  <si>
    <t>E05000763</t>
  </si>
  <si>
    <t>Eccles</t>
  </si>
  <si>
    <t>E05000764</t>
  </si>
  <si>
    <t>Irlam</t>
  </si>
  <si>
    <t>E05000765</t>
  </si>
  <si>
    <t>Irwell Riverside</t>
  </si>
  <si>
    <t>E05000766</t>
  </si>
  <si>
    <t>Kersal</t>
  </si>
  <si>
    <t>E05000767</t>
  </si>
  <si>
    <t>Langworthy</t>
  </si>
  <si>
    <t>E05000768</t>
  </si>
  <si>
    <t>Little Hulton</t>
  </si>
  <si>
    <t>E05000769</t>
  </si>
  <si>
    <t>Ordsall</t>
  </si>
  <si>
    <t>E05000770</t>
  </si>
  <si>
    <t>Pendlebury</t>
  </si>
  <si>
    <t>E05000771</t>
  </si>
  <si>
    <t>Swinton North</t>
  </si>
  <si>
    <t>E05000772</t>
  </si>
  <si>
    <t>Swinton South</t>
  </si>
  <si>
    <t>E05000773</t>
  </si>
  <si>
    <t>Walkden North</t>
  </si>
  <si>
    <t>E05000774</t>
  </si>
  <si>
    <t>Walkden South</t>
  </si>
  <si>
    <t>E05000775</t>
  </si>
  <si>
    <t>Weaste and Seedley</t>
  </si>
  <si>
    <t>E05000776</t>
  </si>
  <si>
    <t>Winton</t>
  </si>
  <si>
    <t>E05000777</t>
  </si>
  <si>
    <t>Worsley</t>
  </si>
  <si>
    <t>E05000778</t>
  </si>
  <si>
    <t>* as created by The City of Salford (Electoral Changes) Order 2004</t>
  </si>
  <si>
    <t>STOCKPORT BOROUGH  *</t>
  </si>
  <si>
    <t>Bramhall North</t>
  </si>
  <si>
    <t>E05000779</t>
  </si>
  <si>
    <t>Bramhall South and Woodford</t>
  </si>
  <si>
    <t>E05000780</t>
  </si>
  <si>
    <t>Bredbury and Woodley</t>
  </si>
  <si>
    <t>E05000781</t>
  </si>
  <si>
    <t>Bredbury Green and Romiley</t>
  </si>
  <si>
    <t>E05000782</t>
  </si>
  <si>
    <t>Brinnington and Central</t>
  </si>
  <si>
    <t>E05000783</t>
  </si>
  <si>
    <t>Cheadle and Gatley</t>
  </si>
  <si>
    <t>E05000784</t>
  </si>
  <si>
    <t>Cheadle Hulme North</t>
  </si>
  <si>
    <t>E05000785</t>
  </si>
  <si>
    <t>Cheadle Hulme South</t>
  </si>
  <si>
    <t>E05000786</t>
  </si>
  <si>
    <t>Davenport and Cale Green</t>
  </si>
  <si>
    <t>E05000787</t>
  </si>
  <si>
    <t>Edgeley and Cheadle Heath</t>
  </si>
  <si>
    <t>E05000788</t>
  </si>
  <si>
    <t>Hazel Grove</t>
  </si>
  <si>
    <t>E05000789</t>
  </si>
  <si>
    <t>Heald Green</t>
  </si>
  <si>
    <t>E05000790</t>
  </si>
  <si>
    <t>Heatons North</t>
  </si>
  <si>
    <t>E05000791</t>
  </si>
  <si>
    <t>Heatons South</t>
  </si>
  <si>
    <t>E05000792</t>
  </si>
  <si>
    <t>E05000793</t>
  </si>
  <si>
    <t>Marple North</t>
  </si>
  <si>
    <t>E05000794</t>
  </si>
  <si>
    <t>Marple South</t>
  </si>
  <si>
    <t>E05000795</t>
  </si>
  <si>
    <t>Offerton</t>
  </si>
  <si>
    <t>E05000796</t>
  </si>
  <si>
    <t>Reddish North</t>
  </si>
  <si>
    <t>E05000797</t>
  </si>
  <si>
    <t>Reddish South</t>
  </si>
  <si>
    <t>E05000798</t>
  </si>
  <si>
    <t>Stepping Hill</t>
  </si>
  <si>
    <t>E05000799</t>
  </si>
  <si>
    <t>Marple and Hyde CC (pt)</t>
  </si>
  <si>
    <t>Stockport North and Denton BC (pt)</t>
  </si>
  <si>
    <t>* as created by The Borough of Stockport (Electoral Changes) Order 2004</t>
  </si>
  <si>
    <t>TAMESIDE BOROUGH  *</t>
  </si>
  <si>
    <t>Ashton Hurst</t>
  </si>
  <si>
    <t>E05000800</t>
  </si>
  <si>
    <t>Ashton St Michael's</t>
  </si>
  <si>
    <t>E05000801</t>
  </si>
  <si>
    <t>Ashton Waterloo</t>
  </si>
  <si>
    <t>E05000802</t>
  </si>
  <si>
    <t>Audenshaw</t>
  </si>
  <si>
    <t>E05000803</t>
  </si>
  <si>
    <t>Denton North East</t>
  </si>
  <si>
    <t>E05000804</t>
  </si>
  <si>
    <t>Denton South</t>
  </si>
  <si>
    <t>E05000805</t>
  </si>
  <si>
    <t>Denton West</t>
  </si>
  <si>
    <t>E05000806</t>
  </si>
  <si>
    <t>Droylsden East</t>
  </si>
  <si>
    <t>E05000807</t>
  </si>
  <si>
    <t>Droylsden West</t>
  </si>
  <si>
    <t>E05000808</t>
  </si>
  <si>
    <t>Dukinfield</t>
  </si>
  <si>
    <t>E05000809</t>
  </si>
  <si>
    <t>Dukinfield Stalybridge</t>
  </si>
  <si>
    <t>E05000810</t>
  </si>
  <si>
    <t>Hyde Godley</t>
  </si>
  <si>
    <t>E05000811</t>
  </si>
  <si>
    <t>Hyde Newton</t>
  </si>
  <si>
    <t>E05000812</t>
  </si>
  <si>
    <t>Hyde Werneth</t>
  </si>
  <si>
    <t>E05000813</t>
  </si>
  <si>
    <t>Longdendale</t>
  </si>
  <si>
    <t>E05000814</t>
  </si>
  <si>
    <t>Mossley</t>
  </si>
  <si>
    <t>E05000815</t>
  </si>
  <si>
    <t>E05000816</t>
  </si>
  <si>
    <t>Stalybridge North</t>
  </si>
  <si>
    <t>E05000817</t>
  </si>
  <si>
    <t>Stalybridge South</t>
  </si>
  <si>
    <t>E05000818</t>
  </si>
  <si>
    <t>* as created by The Borough of Tameside (Electoral Changes) Order 2004</t>
  </si>
  <si>
    <t>TRAFFORD BOROUGH  *</t>
  </si>
  <si>
    <t>Altrincham</t>
  </si>
  <si>
    <t>E05000819</t>
  </si>
  <si>
    <t>Ashton upon Mersey</t>
  </si>
  <si>
    <t>E05000820</t>
  </si>
  <si>
    <t>Bowdon</t>
  </si>
  <si>
    <t>E05000821</t>
  </si>
  <si>
    <t>E05000822</t>
  </si>
  <si>
    <t>E05000823</t>
  </si>
  <si>
    <t>Bucklow-St Martins</t>
  </si>
  <si>
    <t>E05000824</t>
  </si>
  <si>
    <t>Clifford</t>
  </si>
  <si>
    <t>E05000825</t>
  </si>
  <si>
    <t>Davyhulme East</t>
  </si>
  <si>
    <t>E05000826</t>
  </si>
  <si>
    <t>Davyhulme West</t>
  </si>
  <si>
    <t>E05000827</t>
  </si>
  <si>
    <t>Flixton</t>
  </si>
  <si>
    <t>E05000828</t>
  </si>
  <si>
    <t>E05000829</t>
  </si>
  <si>
    <t>Hale Barns</t>
  </si>
  <si>
    <t>E05000830</t>
  </si>
  <si>
    <t>Hale Central</t>
  </si>
  <si>
    <t>E05000831</t>
  </si>
  <si>
    <t>E05000832</t>
  </si>
  <si>
    <t>E05000833</t>
  </si>
  <si>
    <t>E05000834</t>
  </si>
  <si>
    <t>Sale Moor</t>
  </si>
  <si>
    <t>E05000835</t>
  </si>
  <si>
    <t>Stretford</t>
  </si>
  <si>
    <t>E05000836</t>
  </si>
  <si>
    <t>Timperley</t>
  </si>
  <si>
    <t>E05000837</t>
  </si>
  <si>
    <t>Urmston</t>
  </si>
  <si>
    <t>E05000838</t>
  </si>
  <si>
    <t>E05000839</t>
  </si>
  <si>
    <t>* as created by The Borough of Trafford (Electoral Changes) Order 2004</t>
  </si>
  <si>
    <t>WIGAN BOROUGH  *</t>
  </si>
  <si>
    <t>Abram</t>
  </si>
  <si>
    <t>E05000840</t>
  </si>
  <si>
    <t>Ashton</t>
  </si>
  <si>
    <t>E05000841</t>
  </si>
  <si>
    <t>Aspull New Springs Whelley</t>
  </si>
  <si>
    <t>E05000842</t>
  </si>
  <si>
    <t>Astley Mosley Common</t>
  </si>
  <si>
    <t>E05000843</t>
  </si>
  <si>
    <t>Atherleigh</t>
  </si>
  <si>
    <t>E05000844</t>
  </si>
  <si>
    <t>Atherton</t>
  </si>
  <si>
    <t>E05000845</t>
  </si>
  <si>
    <t>Bryn</t>
  </si>
  <si>
    <t>E05000846</t>
  </si>
  <si>
    <t>Douglas</t>
  </si>
  <si>
    <t>E05000847</t>
  </si>
  <si>
    <t>Golborne and Lowton West</t>
  </si>
  <si>
    <t>E05000848</t>
  </si>
  <si>
    <t>Hindley</t>
  </si>
  <si>
    <t>E05000849</t>
  </si>
  <si>
    <t>Hindley Green</t>
  </si>
  <si>
    <t>E05000850</t>
  </si>
  <si>
    <t>Ince</t>
  </si>
  <si>
    <t>E05000851</t>
  </si>
  <si>
    <t>Leigh East</t>
  </si>
  <si>
    <t>E05000852</t>
  </si>
  <si>
    <t>Leigh South</t>
  </si>
  <si>
    <t>E05000853</t>
  </si>
  <si>
    <t>Leigh West</t>
  </si>
  <si>
    <t>E05000854</t>
  </si>
  <si>
    <t>Lowton East</t>
  </si>
  <si>
    <t>E05000855</t>
  </si>
  <si>
    <t>Orrell</t>
  </si>
  <si>
    <t>E05000856</t>
  </si>
  <si>
    <t>Pemberton</t>
  </si>
  <si>
    <t>E05000857</t>
  </si>
  <si>
    <t>Shevington with Lower Ground</t>
  </si>
  <si>
    <t>E05000858</t>
  </si>
  <si>
    <t>Standish with Langtree</t>
  </si>
  <si>
    <t>E05000859</t>
  </si>
  <si>
    <t>Tyldesley</t>
  </si>
  <si>
    <t>E05000860</t>
  </si>
  <si>
    <t>Wigan Central</t>
  </si>
  <si>
    <t>E05000861</t>
  </si>
  <si>
    <t>Wigan West</t>
  </si>
  <si>
    <t>E05000862</t>
  </si>
  <si>
    <t>E05000863</t>
  </si>
  <si>
    <t>Worsley Mesnes</t>
  </si>
  <si>
    <t>E05000864</t>
  </si>
  <si>
    <t>* as created by The Borough of Wigan (Electoral Changes) Order 2004</t>
  </si>
  <si>
    <t>LANCASHIRE  *</t>
  </si>
  <si>
    <t>BLACKBURN WITH DARWEN BOROUGH  *</t>
  </si>
  <si>
    <t>BLACKPOOL BOROUGH  *</t>
  </si>
  <si>
    <t>BURNLEY BOROUGH</t>
  </si>
  <si>
    <t>CHORLEY BOROUGH</t>
  </si>
  <si>
    <t>FYLDE BOROUGH</t>
  </si>
  <si>
    <t>HYNDBURN BOROUGH</t>
  </si>
  <si>
    <t>CITY OF LANCASTER</t>
  </si>
  <si>
    <t>PENDLE BOROUGH</t>
  </si>
  <si>
    <t>CITY OF PRESTON</t>
  </si>
  <si>
    <t>RIBBLE VALLEY BOROUGH</t>
  </si>
  <si>
    <t>ROSSENDALE BOROUGH</t>
  </si>
  <si>
    <t>SOUTH RIBBLE BOROUGH</t>
  </si>
  <si>
    <t>WEST LANCASHIRE BOROUGH</t>
  </si>
  <si>
    <t>WYRE BOROUGH</t>
  </si>
  <si>
    <t>Accrington CC</t>
  </si>
  <si>
    <t>Burnley (pt)</t>
  </si>
  <si>
    <t>Blackburn BC</t>
  </si>
  <si>
    <t>Blackburn with Darwen (pt)</t>
  </si>
  <si>
    <t>Blackpool North and Fleetwood BC</t>
  </si>
  <si>
    <t>Blackpool (pt)</t>
  </si>
  <si>
    <t>Wyre (pt)</t>
  </si>
  <si>
    <t>Blackpool South BC</t>
  </si>
  <si>
    <t>Fylde (pt)</t>
  </si>
  <si>
    <t>Burnley CC</t>
  </si>
  <si>
    <t>Pendle (pt)</t>
  </si>
  <si>
    <t>Chorley CC</t>
  </si>
  <si>
    <t>Chorley (pt)</t>
  </si>
  <si>
    <t>Clitheroe and Colne CC</t>
  </si>
  <si>
    <t>Ribble Valley (pt)</t>
  </si>
  <si>
    <t>South Ribble  (pt)</t>
  </si>
  <si>
    <t>Fylde CC</t>
  </si>
  <si>
    <t>Preston (pt)</t>
  </si>
  <si>
    <t>Lancaster and Morecambe CC</t>
  </si>
  <si>
    <t>Lancaster (pt)</t>
  </si>
  <si>
    <t>North Lancashire CC</t>
  </si>
  <si>
    <t>Preston BC</t>
  </si>
  <si>
    <t>Rossendale and Darwen CC</t>
  </si>
  <si>
    <t>South Ribble CC</t>
  </si>
  <si>
    <t>South Ribble (pt)</t>
  </si>
  <si>
    <t>Southport CC</t>
  </si>
  <si>
    <t>Southport (pt)</t>
  </si>
  <si>
    <t>West Lancashire (pt)</t>
  </si>
  <si>
    <t>West Lancashire CC</t>
  </si>
  <si>
    <t>* as created by The Lancashire (Boroughs of Blackburn and Blackpool) (Structural Change) Order 1996</t>
  </si>
  <si>
    <t>Audley</t>
  </si>
  <si>
    <t>E05001620</t>
  </si>
  <si>
    <t>Bastwell</t>
  </si>
  <si>
    <t>E05001621</t>
  </si>
  <si>
    <t>Beardwood with Lammack</t>
  </si>
  <si>
    <t>E05001622</t>
  </si>
  <si>
    <t>Corporation Park</t>
  </si>
  <si>
    <t>E05001623</t>
  </si>
  <si>
    <t>Earcroft</t>
  </si>
  <si>
    <t>E05001624</t>
  </si>
  <si>
    <t>East Rural</t>
  </si>
  <si>
    <t>E05001625</t>
  </si>
  <si>
    <t>Ewood</t>
  </si>
  <si>
    <t>E05001626</t>
  </si>
  <si>
    <t>Fernhurst</t>
  </si>
  <si>
    <t>E05001627</t>
  </si>
  <si>
    <t>Higher Croft</t>
  </si>
  <si>
    <t>E05001628</t>
  </si>
  <si>
    <t>Little Harwood</t>
  </si>
  <si>
    <t>E05001629</t>
  </si>
  <si>
    <t>Livesey with Pleasington</t>
  </si>
  <si>
    <t>E05001630</t>
  </si>
  <si>
    <t>Marsh House</t>
  </si>
  <si>
    <t>E05001631</t>
  </si>
  <si>
    <t>Meadowhead</t>
  </si>
  <si>
    <t>E05001632</t>
  </si>
  <si>
    <t>E05001633</t>
  </si>
  <si>
    <t>North Turton with Tockholes</t>
  </si>
  <si>
    <t>E05001634</t>
  </si>
  <si>
    <t>E05001635</t>
  </si>
  <si>
    <t>Roe Lee</t>
  </si>
  <si>
    <t>E05001636</t>
  </si>
  <si>
    <t>Shadsworth with Whitebirk</t>
  </si>
  <si>
    <t>E05001637</t>
  </si>
  <si>
    <t>Shear Brow</t>
  </si>
  <si>
    <t>E05001638</t>
  </si>
  <si>
    <t>Sudell</t>
  </si>
  <si>
    <t>E05001639</t>
  </si>
  <si>
    <t>Sunnyhurst</t>
  </si>
  <si>
    <t>E05001640</t>
  </si>
  <si>
    <t>Wensley Fold</t>
  </si>
  <si>
    <t>E05001641</t>
  </si>
  <si>
    <t>Whitehall</t>
  </si>
  <si>
    <t>E05001642</t>
  </si>
  <si>
    <t>Rossendale and Darwen CC (pt)</t>
  </si>
  <si>
    <t>* as created by The Borough of Blackburn with Darwen (Electoral Changes) Order 2002</t>
  </si>
  <si>
    <t>Anchorsholme</t>
  </si>
  <si>
    <t>E05001643</t>
  </si>
  <si>
    <t>Bispham</t>
  </si>
  <si>
    <t>E05001644</t>
  </si>
  <si>
    <t>Bloomfield</t>
  </si>
  <si>
    <t>E05001645</t>
  </si>
  <si>
    <t>E05001646</t>
  </si>
  <si>
    <t>E05001647</t>
  </si>
  <si>
    <t>E05001648</t>
  </si>
  <si>
    <t>E05001649</t>
  </si>
  <si>
    <t>Hawes Side</t>
  </si>
  <si>
    <t>E05001650</t>
  </si>
  <si>
    <t>E05001651</t>
  </si>
  <si>
    <t>Ingthorpe</t>
  </si>
  <si>
    <t>E05001652</t>
  </si>
  <si>
    <t>Layton</t>
  </si>
  <si>
    <t>E05001653</t>
  </si>
  <si>
    <t>Marton</t>
  </si>
  <si>
    <t>E05001654</t>
  </si>
  <si>
    <t>Norbreck</t>
  </si>
  <si>
    <t>E05001655</t>
  </si>
  <si>
    <t>E05001656</t>
  </si>
  <si>
    <t>Squires Gate</t>
  </si>
  <si>
    <t>E05001657</t>
  </si>
  <si>
    <t>E05001658</t>
  </si>
  <si>
    <t>Talbot</t>
  </si>
  <si>
    <t>E05001659</t>
  </si>
  <si>
    <t>E05001660</t>
  </si>
  <si>
    <t>E05001661</t>
  </si>
  <si>
    <t>Warbreck</t>
  </si>
  <si>
    <t>E05001662</t>
  </si>
  <si>
    <t>Waterloo</t>
  </si>
  <si>
    <t>E05001663</t>
  </si>
  <si>
    <t>Blackpool North and Fleetwood BC (pt)</t>
  </si>
  <si>
    <t>Blackpool South BC (pt)</t>
  </si>
  <si>
    <t>* as created by The Borough of Blackpool (Electoral Change) Order 2002</t>
  </si>
  <si>
    <t>BURNLEY BOROUGH  *</t>
  </si>
  <si>
    <t>Bank Hall</t>
  </si>
  <si>
    <t>E05005150</t>
  </si>
  <si>
    <t>Briercliffe</t>
  </si>
  <si>
    <t>E05005151</t>
  </si>
  <si>
    <t>Brunshaw</t>
  </si>
  <si>
    <t>E05005152</t>
  </si>
  <si>
    <t>Cliviger with Worsthorne</t>
  </si>
  <si>
    <t>E05005153</t>
  </si>
  <si>
    <t>Coal Clough with Deerplay</t>
  </si>
  <si>
    <t>E05005154</t>
  </si>
  <si>
    <t>Daneshouse with Stoneyholme</t>
  </si>
  <si>
    <t>E05005155</t>
  </si>
  <si>
    <t>Gannow</t>
  </si>
  <si>
    <t>E05005156</t>
  </si>
  <si>
    <t>Gawthorpe</t>
  </si>
  <si>
    <t>E05005157</t>
  </si>
  <si>
    <t>Hapton with Park</t>
  </si>
  <si>
    <t>E05005158</t>
  </si>
  <si>
    <t>Lanehead</t>
  </si>
  <si>
    <t>E05005159</t>
  </si>
  <si>
    <t>Queensgate</t>
  </si>
  <si>
    <t>E05005160</t>
  </si>
  <si>
    <t>Rosegrove with Lowerhouse</t>
  </si>
  <si>
    <t>E05005161</t>
  </si>
  <si>
    <t>Rosehill with Burnley Wood</t>
  </si>
  <si>
    <t>E05005162</t>
  </si>
  <si>
    <t>E05005163</t>
  </si>
  <si>
    <t>Whittlefield with Ightenhill</t>
  </si>
  <si>
    <t>E05005164</t>
  </si>
  <si>
    <t>Accrington CC (pt)</t>
  </si>
  <si>
    <t>Burnley CC (pt)</t>
  </si>
  <si>
    <t>* as created by The Borough of Burnley (Electoral Changes) Order 2001</t>
  </si>
  <si>
    <t>CHORLEY BOROUGH  *</t>
  </si>
  <si>
    <t>Adlington and Anderton</t>
  </si>
  <si>
    <t>E05005165</t>
  </si>
  <si>
    <t>Astley and Buckshaw</t>
  </si>
  <si>
    <t>E05005166</t>
  </si>
  <si>
    <t>Brindle and Hoghton</t>
  </si>
  <si>
    <t>E05005167</t>
  </si>
  <si>
    <t>Chisnall</t>
  </si>
  <si>
    <t>E05005168</t>
  </si>
  <si>
    <t>Chorley East</t>
  </si>
  <si>
    <t>E05005169</t>
  </si>
  <si>
    <t>Chorley North East</t>
  </si>
  <si>
    <t>E05005170</t>
  </si>
  <si>
    <t>Chorley North West</t>
  </si>
  <si>
    <t>E05005171</t>
  </si>
  <si>
    <t>Chorley South East</t>
  </si>
  <si>
    <t>E05005172</t>
  </si>
  <si>
    <t>Chorley South West</t>
  </si>
  <si>
    <t>E05005173</t>
  </si>
  <si>
    <t>Clayton-le-Woods and Whittle-le-Woods</t>
  </si>
  <si>
    <t>E05005174</t>
  </si>
  <si>
    <t>Clayton-le-Woods North</t>
  </si>
  <si>
    <t>E05005175</t>
  </si>
  <si>
    <t>Clayton-le-Woods West and Cuerden</t>
  </si>
  <si>
    <t>E05005176</t>
  </si>
  <si>
    <t>Coppull</t>
  </si>
  <si>
    <t>E05005177</t>
  </si>
  <si>
    <t>Eccleston and Mawdesley</t>
  </si>
  <si>
    <t>E05005178</t>
  </si>
  <si>
    <t>Euxton North</t>
  </si>
  <si>
    <t>E05005179</t>
  </si>
  <si>
    <t>Euxton South</t>
  </si>
  <si>
    <t>E05005180</t>
  </si>
  <si>
    <t>Heath Charnock and Rivington</t>
  </si>
  <si>
    <t>E05005181</t>
  </si>
  <si>
    <t>Lostock</t>
  </si>
  <si>
    <t>E05005182</t>
  </si>
  <si>
    <t>Pennine</t>
  </si>
  <si>
    <t>E05005183</t>
  </si>
  <si>
    <t>Wheelton and Withnell</t>
  </si>
  <si>
    <t>E05005184</t>
  </si>
  <si>
    <t>South Ribble CC (pt)</t>
  </si>
  <si>
    <t>West Lancashire CC (pt)</t>
  </si>
  <si>
    <t>* as created by The Borough of Chorley (Electoral Changes) Order 2001</t>
  </si>
  <si>
    <t>FYLDE BOROUGH  *</t>
  </si>
  <si>
    <t>Ansdell</t>
  </si>
  <si>
    <t>E05005185</t>
  </si>
  <si>
    <t>E05005186</t>
  </si>
  <si>
    <t>E05005187</t>
  </si>
  <si>
    <t>E05005188</t>
  </si>
  <si>
    <t>Elswick and Little Eccleston</t>
  </si>
  <si>
    <t>E05005189</t>
  </si>
  <si>
    <t>Fairhaven</t>
  </si>
  <si>
    <t>E05005190</t>
  </si>
  <si>
    <t>Freckleton East</t>
  </si>
  <si>
    <t>E05005191</t>
  </si>
  <si>
    <t>Freckleton West</t>
  </si>
  <si>
    <t>E05005192</t>
  </si>
  <si>
    <t>Heyhouses</t>
  </si>
  <si>
    <t>E05005193</t>
  </si>
  <si>
    <t>Kilnhouse</t>
  </si>
  <si>
    <t>E05005194</t>
  </si>
  <si>
    <t>Kirkham North</t>
  </si>
  <si>
    <t>E05005195</t>
  </si>
  <si>
    <t>Kirkham South</t>
  </si>
  <si>
    <t>E05005196</t>
  </si>
  <si>
    <t>Medlar-with-Wesham</t>
  </si>
  <si>
    <t>E05005197</t>
  </si>
  <si>
    <t>Newton and Treales</t>
  </si>
  <si>
    <t>E05005198</t>
  </si>
  <si>
    <t>E05005199</t>
  </si>
  <si>
    <t>Ribby-with-Wrea</t>
  </si>
  <si>
    <t>E05005200</t>
  </si>
  <si>
    <t>E05005201</t>
  </si>
  <si>
    <t>E05005202</t>
  </si>
  <si>
    <t>Singleton and Greenhalgh</t>
  </si>
  <si>
    <t>E05005203</t>
  </si>
  <si>
    <t>Staining and Weeton</t>
  </si>
  <si>
    <t>E05005204</t>
  </si>
  <si>
    <t>Warton and Westby</t>
  </si>
  <si>
    <t>E05005205</t>
  </si>
  <si>
    <t>Fylde CC (pt)</t>
  </si>
  <si>
    <t>* as created by The Borough of Fylde (Electoral Changes) Order 2001</t>
  </si>
  <si>
    <t>HYNDBURN BOROUGH  *</t>
  </si>
  <si>
    <t>Altham</t>
  </si>
  <si>
    <t>E05005206</t>
  </si>
  <si>
    <t>E05005207</t>
  </si>
  <si>
    <t>Baxenden</t>
  </si>
  <si>
    <t>E05005208</t>
  </si>
  <si>
    <t>E05005209</t>
  </si>
  <si>
    <t>E05005210</t>
  </si>
  <si>
    <t>Clayton-le-Moors</t>
  </si>
  <si>
    <t>E05005211</t>
  </si>
  <si>
    <t>Huncoat</t>
  </si>
  <si>
    <t>E05005212</t>
  </si>
  <si>
    <t>Immanuel</t>
  </si>
  <si>
    <t>E05005213</t>
  </si>
  <si>
    <t>Milnshaw</t>
  </si>
  <si>
    <t>E05005214</t>
  </si>
  <si>
    <t>Netherton</t>
  </si>
  <si>
    <t>E05005215</t>
  </si>
  <si>
    <t>Overton</t>
  </si>
  <si>
    <t>E05005216</t>
  </si>
  <si>
    <t>Peel</t>
  </si>
  <si>
    <t>E05005217</t>
  </si>
  <si>
    <t>Rishton</t>
  </si>
  <si>
    <t>E05005218</t>
  </si>
  <si>
    <t>E05005219</t>
  </si>
  <si>
    <t>St Oswald's</t>
  </si>
  <si>
    <t>E05005220</t>
  </si>
  <si>
    <t>Spring Hill</t>
  </si>
  <si>
    <t>E05005221</t>
  </si>
  <si>
    <t>* as created by The Borough of Hyndburn (Electoral Changes) Order 2001</t>
  </si>
  <si>
    <t>CITY OF LANCASTER  *</t>
  </si>
  <si>
    <t>Bare</t>
  </si>
  <si>
    <t>E05009592</t>
  </si>
  <si>
    <t>Bolton &amp; Slyne</t>
  </si>
  <si>
    <t>E05009593</t>
  </si>
  <si>
    <t>Bulk</t>
  </si>
  <si>
    <t>E05009594</t>
  </si>
  <si>
    <t>Carnforth &amp; Millhead</t>
  </si>
  <si>
    <t>E05009595</t>
  </si>
  <si>
    <t>E05009596</t>
  </si>
  <si>
    <t>Ellel</t>
  </si>
  <si>
    <t>E05009597</t>
  </si>
  <si>
    <t>Halton-with-Aughton</t>
  </si>
  <si>
    <t>E05009598</t>
  </si>
  <si>
    <t>E05009599</t>
  </si>
  <si>
    <t>Heysham Central</t>
  </si>
  <si>
    <t>E05009600</t>
  </si>
  <si>
    <t>Heysham North</t>
  </si>
  <si>
    <t>E05009601</t>
  </si>
  <si>
    <t>Heysham South</t>
  </si>
  <si>
    <t>E05009602</t>
  </si>
  <si>
    <t>John O'Gaunt</t>
  </si>
  <si>
    <t>E05009603</t>
  </si>
  <si>
    <t>Kellet</t>
  </si>
  <si>
    <t>E05009604</t>
  </si>
  <si>
    <t>Lower Lune Valley</t>
  </si>
  <si>
    <t>E05009605</t>
  </si>
  <si>
    <t>E05009606</t>
  </si>
  <si>
    <t>E05009607</t>
  </si>
  <si>
    <t>Poulton</t>
  </si>
  <si>
    <t>E05009608</t>
  </si>
  <si>
    <t>Scotforth East</t>
  </si>
  <si>
    <t>E05009609</t>
  </si>
  <si>
    <t>Scotforth West</t>
  </si>
  <si>
    <t>E05009610</t>
  </si>
  <si>
    <t>Silverdale</t>
  </si>
  <si>
    <t>E05009611</t>
  </si>
  <si>
    <t>Skerton East</t>
  </si>
  <si>
    <t>E05009612</t>
  </si>
  <si>
    <t>Skerton West</t>
  </si>
  <si>
    <t>E05009613</t>
  </si>
  <si>
    <t>Torrisholme</t>
  </si>
  <si>
    <t>E05009614</t>
  </si>
  <si>
    <t>University &amp; Scotforth Rural</t>
  </si>
  <si>
    <t>E05009615</t>
  </si>
  <si>
    <t>Upper Lune Valley</t>
  </si>
  <si>
    <t>E05009616</t>
  </si>
  <si>
    <t>Warton</t>
  </si>
  <si>
    <t>E05009617</t>
  </si>
  <si>
    <t>E05009618</t>
  </si>
  <si>
    <t>North Lancashire CC (pt)</t>
  </si>
  <si>
    <t>* as created by The Lancaster (Electoral Changes) Order 2014</t>
  </si>
  <si>
    <t>PENDLE BOROUGH  *</t>
  </si>
  <si>
    <t>Barrowford</t>
  </si>
  <si>
    <t>E05005250</t>
  </si>
  <si>
    <t>Blacko and Higherford</t>
  </si>
  <si>
    <t>E05005251</t>
  </si>
  <si>
    <t>Boulsworth</t>
  </si>
  <si>
    <t>E05005252</t>
  </si>
  <si>
    <t>E05005253</t>
  </si>
  <si>
    <t>Brierfield</t>
  </si>
  <si>
    <t>E05005254</t>
  </si>
  <si>
    <t>Clover Hill</t>
  </si>
  <si>
    <t>E05005255</t>
  </si>
  <si>
    <t>Coates</t>
  </si>
  <si>
    <t>E05005256</t>
  </si>
  <si>
    <t>E05005257</t>
  </si>
  <si>
    <t>Earby</t>
  </si>
  <si>
    <t>E05008551</t>
  </si>
  <si>
    <t>Foulridge</t>
  </si>
  <si>
    <t>E05008552</t>
  </si>
  <si>
    <t>Higham and Pendleside</t>
  </si>
  <si>
    <t>E05005260</t>
  </si>
  <si>
    <t>Horsfield</t>
  </si>
  <si>
    <t>E05005261</t>
  </si>
  <si>
    <t>Marsden</t>
  </si>
  <si>
    <t>E05005262</t>
  </si>
  <si>
    <t>Old Laund Booth</t>
  </si>
  <si>
    <t>E05005263</t>
  </si>
  <si>
    <t>Reedley</t>
  </si>
  <si>
    <t>E05005264</t>
  </si>
  <si>
    <t>E05005265</t>
  </si>
  <si>
    <t>Vivary Bridge</t>
  </si>
  <si>
    <t>E05005266</t>
  </si>
  <si>
    <t>Walverden</t>
  </si>
  <si>
    <t>E05005267</t>
  </si>
  <si>
    <t>E05005268</t>
  </si>
  <si>
    <t>Whitefield</t>
  </si>
  <si>
    <t>E05005269</t>
  </si>
  <si>
    <t>Clitheroe and Colne CC (pt)</t>
  </si>
  <si>
    <t>* as created by The Borough of Pendle (Electoral Changes) Order 2001 and</t>
  </si>
  <si>
    <t xml:space="preserve">   as altered by The Pendle (Related Alterations) Order 2011</t>
  </si>
  <si>
    <t>CITY OF PRESTON  *</t>
  </si>
  <si>
    <t>E05005270</t>
  </si>
  <si>
    <t>Brookfield</t>
  </si>
  <si>
    <t>E05005271</t>
  </si>
  <si>
    <t>Cadley</t>
  </si>
  <si>
    <t>E05005272</t>
  </si>
  <si>
    <t>E05005273</t>
  </si>
  <si>
    <t>Deepdale</t>
  </si>
  <si>
    <t>E05005274</t>
  </si>
  <si>
    <t>Fishwick</t>
  </si>
  <si>
    <t>E05005275</t>
  </si>
  <si>
    <t>Garrison</t>
  </si>
  <si>
    <t>E05005276</t>
  </si>
  <si>
    <t>E05005277</t>
  </si>
  <si>
    <t>Ingol</t>
  </si>
  <si>
    <t>E05005278</t>
  </si>
  <si>
    <t>Larches</t>
  </si>
  <si>
    <t>E05005279</t>
  </si>
  <si>
    <t>E05005280</t>
  </si>
  <si>
    <t>Moor Park</t>
  </si>
  <si>
    <t>E05005281</t>
  </si>
  <si>
    <t>Preston Rural East</t>
  </si>
  <si>
    <t>E05005282</t>
  </si>
  <si>
    <t>Preston Rural North</t>
  </si>
  <si>
    <t>E05005283</t>
  </si>
  <si>
    <t>Ribbleton</t>
  </si>
  <si>
    <t>E05005284</t>
  </si>
  <si>
    <t>Riversway</t>
  </si>
  <si>
    <t>E05005285</t>
  </si>
  <si>
    <t>E05005286</t>
  </si>
  <si>
    <t>E05005287</t>
  </si>
  <si>
    <t>Sharoe Green</t>
  </si>
  <si>
    <t>E05005288</t>
  </si>
  <si>
    <t>E05005289</t>
  </si>
  <si>
    <t>Tulketh</t>
  </si>
  <si>
    <t>E05005290</t>
  </si>
  <si>
    <t>E05005291</t>
  </si>
  <si>
    <t>* as created by The Borough of Preston (Electoral Changes) Order 2001 and</t>
  </si>
  <si>
    <t xml:space="preserve">   as altered by The Preston (Electoral Changes) Order 2007</t>
  </si>
  <si>
    <t xml:space="preserve">   Borough granted City status on 13 March 2002</t>
  </si>
  <si>
    <t>RIBBLE VALLEY BOROUGH  *</t>
  </si>
  <si>
    <t>Aighton, Bailey and Chaigley</t>
  </si>
  <si>
    <t>E05005292</t>
  </si>
  <si>
    <t>Alston and Hothersall</t>
  </si>
  <si>
    <t>E05005293</t>
  </si>
  <si>
    <t>Billington and Old Langho</t>
  </si>
  <si>
    <t>E05005294</t>
  </si>
  <si>
    <t>Bowland, Newton and Slaidburn</t>
  </si>
  <si>
    <t>E05005295</t>
  </si>
  <si>
    <t>Chatburn</t>
  </si>
  <si>
    <t>E05005296</t>
  </si>
  <si>
    <t>Chipping</t>
  </si>
  <si>
    <t>E05005297</t>
  </si>
  <si>
    <t>Clayton-le-Dale with Ramsgreave</t>
  </si>
  <si>
    <t>E05005298</t>
  </si>
  <si>
    <t>Derby and Thornley</t>
  </si>
  <si>
    <t>E05005299</t>
  </si>
  <si>
    <t>Dilworth</t>
  </si>
  <si>
    <t>E05005300</t>
  </si>
  <si>
    <t>Edisford and Low Moor</t>
  </si>
  <si>
    <t>E05005301</t>
  </si>
  <si>
    <t>Gisburn, Rimington</t>
  </si>
  <si>
    <t>E05005302</t>
  </si>
  <si>
    <t>Langho</t>
  </si>
  <si>
    <t>E05005303</t>
  </si>
  <si>
    <t>E05005304</t>
  </si>
  <si>
    <t>Mellor</t>
  </si>
  <si>
    <t>E05005305</t>
  </si>
  <si>
    <t>E05005306</t>
  </si>
  <si>
    <t>Read and Simonstone</t>
  </si>
  <si>
    <t>E05005307</t>
  </si>
  <si>
    <t>Ribchester</t>
  </si>
  <si>
    <t>E05005308</t>
  </si>
  <si>
    <t>Sabden</t>
  </si>
  <si>
    <t>E05005309</t>
  </si>
  <si>
    <t>E05005310</t>
  </si>
  <si>
    <t>Salthill</t>
  </si>
  <si>
    <t>E05005311</t>
  </si>
  <si>
    <t>Waddington and West Bradford</t>
  </si>
  <si>
    <t>E05005312</t>
  </si>
  <si>
    <t>Whalley</t>
  </si>
  <si>
    <t>E05005313</t>
  </si>
  <si>
    <t>Wilpshire</t>
  </si>
  <si>
    <t>E05005314</t>
  </si>
  <si>
    <t>Wiswell and Pendleton</t>
  </si>
  <si>
    <t>E05005315</t>
  </si>
  <si>
    <t>* as created by The Borough of Ribble Valley (Electoral Changes) Order 2001</t>
  </si>
  <si>
    <t>ROSSENDALE BOROUGH  *</t>
  </si>
  <si>
    <t>Cribden</t>
  </si>
  <si>
    <t>E05005316</t>
  </si>
  <si>
    <t>E05005317</t>
  </si>
  <si>
    <t>Facit and Shawforth</t>
  </si>
  <si>
    <t>E05005318</t>
  </si>
  <si>
    <t>Goodshaw</t>
  </si>
  <si>
    <t>E05005319</t>
  </si>
  <si>
    <t>Greenfield</t>
  </si>
  <si>
    <t>E05005320</t>
  </si>
  <si>
    <t>Greensclough</t>
  </si>
  <si>
    <t>E05005321</t>
  </si>
  <si>
    <t>Hareholme</t>
  </si>
  <si>
    <t>E05005322</t>
  </si>
  <si>
    <t>Healey and Whitworth</t>
  </si>
  <si>
    <t>E05005323</t>
  </si>
  <si>
    <t>Helmshore</t>
  </si>
  <si>
    <t>E05005324</t>
  </si>
  <si>
    <t>Irwell</t>
  </si>
  <si>
    <t>E05005325</t>
  </si>
  <si>
    <t>Longholme</t>
  </si>
  <si>
    <t>E05005326</t>
  </si>
  <si>
    <t>Stacksteads</t>
  </si>
  <si>
    <t>E05005327</t>
  </si>
  <si>
    <t>Whitewell</t>
  </si>
  <si>
    <t>E05005328</t>
  </si>
  <si>
    <t>E05005329</t>
  </si>
  <si>
    <t>Rosendale and Darwen CC (pt)</t>
  </si>
  <si>
    <t>* as created by The Borough of Rossendale (Electoral Changes) Order 2001</t>
  </si>
  <si>
    <t>SOUTH RIBBLE BOROUGH  *</t>
  </si>
  <si>
    <t>Bamber Bridge East</t>
  </si>
  <si>
    <t>E05010214</t>
  </si>
  <si>
    <t>Bamber Bridge West</t>
  </si>
  <si>
    <t>E05010215</t>
  </si>
  <si>
    <t>Broad Oak</t>
  </si>
  <si>
    <t>E05010216</t>
  </si>
  <si>
    <t>Broadfield</t>
  </si>
  <si>
    <t>E05010217</t>
  </si>
  <si>
    <t>Buckshaw &amp; Worden</t>
  </si>
  <si>
    <t>E05010218</t>
  </si>
  <si>
    <t>Charnock</t>
  </si>
  <si>
    <t>E05010219</t>
  </si>
  <si>
    <t>Coupe Green &amp; Gregson Lane</t>
  </si>
  <si>
    <t>E05010220</t>
  </si>
  <si>
    <t>Earnshaw Bridge</t>
  </si>
  <si>
    <t>E05010221</t>
  </si>
  <si>
    <t>Farington East</t>
  </si>
  <si>
    <t>E05010222</t>
  </si>
  <si>
    <t>Farington West</t>
  </si>
  <si>
    <t>E05010223</t>
  </si>
  <si>
    <t>E05010224</t>
  </si>
  <si>
    <t>Howick &amp; Priory</t>
  </si>
  <si>
    <t>E05010225</t>
  </si>
  <si>
    <t>Leyland Central</t>
  </si>
  <si>
    <t>E05010226</t>
  </si>
  <si>
    <t>Longton &amp; Hutton West</t>
  </si>
  <si>
    <t>E05010227</t>
  </si>
  <si>
    <t>Lostock Hall</t>
  </si>
  <si>
    <t>E05010228</t>
  </si>
  <si>
    <t>Middleforth</t>
  </si>
  <si>
    <t>E05010229</t>
  </si>
  <si>
    <t>E05010230</t>
  </si>
  <si>
    <t>New Longton &amp; Hutton East</t>
  </si>
  <si>
    <t>E05010231</t>
  </si>
  <si>
    <t>St Ambrose</t>
  </si>
  <si>
    <t>E05010232</t>
  </si>
  <si>
    <t>Samlesbury &amp; Walton</t>
  </si>
  <si>
    <t>E05010233</t>
  </si>
  <si>
    <t>Seven Stars</t>
  </si>
  <si>
    <t>E05010234</t>
  </si>
  <si>
    <t>Walton-le-Dale East</t>
  </si>
  <si>
    <t>E05010235</t>
  </si>
  <si>
    <t>Walton-le-Dale West</t>
  </si>
  <si>
    <t>E05010236</t>
  </si>
  <si>
    <t>* as created by The Borough of South Ribble (Electoral Changes) Order 2001</t>
  </si>
  <si>
    <t>WEST LANCASHIRE BOROUGH  *</t>
  </si>
  <si>
    <t>Ashurst</t>
  </si>
  <si>
    <t>E05005357</t>
  </si>
  <si>
    <t>Aughton and Downholland</t>
  </si>
  <si>
    <t>E05005358</t>
  </si>
  <si>
    <t>Aughton Park</t>
  </si>
  <si>
    <t>E05005359</t>
  </si>
  <si>
    <t>Bickerstaffe</t>
  </si>
  <si>
    <t>E05005380</t>
  </si>
  <si>
    <t>Birch Green</t>
  </si>
  <si>
    <t>E05005360</t>
  </si>
  <si>
    <t>Burscough East</t>
  </si>
  <si>
    <t>E05005361</t>
  </si>
  <si>
    <t>Burscough West</t>
  </si>
  <si>
    <t>E05005362</t>
  </si>
  <si>
    <t>Derby</t>
  </si>
  <si>
    <t>E05005363</t>
  </si>
  <si>
    <t>Digmoor</t>
  </si>
  <si>
    <t>E05005364</t>
  </si>
  <si>
    <t>Halsall</t>
  </si>
  <si>
    <t>E05005365</t>
  </si>
  <si>
    <t>Hesketh-with-Becconsall</t>
  </si>
  <si>
    <t>E05005366</t>
  </si>
  <si>
    <t>E05005367</t>
  </si>
  <si>
    <t>E05005368</t>
  </si>
  <si>
    <t>Newburgh</t>
  </si>
  <si>
    <t>E05005381</t>
  </si>
  <si>
    <t>North Meols</t>
  </si>
  <si>
    <t>E05005369</t>
  </si>
  <si>
    <t>Parbold</t>
  </si>
  <si>
    <t>E05005370</t>
  </si>
  <si>
    <t>Rufford</t>
  </si>
  <si>
    <t>E05005371</t>
  </si>
  <si>
    <t>Scarisbrick</t>
  </si>
  <si>
    <t>E05005372</t>
  </si>
  <si>
    <t>Scott</t>
  </si>
  <si>
    <t>E05005373</t>
  </si>
  <si>
    <t>Skelmersdale North</t>
  </si>
  <si>
    <t>E05005374</t>
  </si>
  <si>
    <t>Skelmersdale South</t>
  </si>
  <si>
    <t>E05005375</t>
  </si>
  <si>
    <t>Tanhouse</t>
  </si>
  <si>
    <t>E05005376</t>
  </si>
  <si>
    <t>Tarleton</t>
  </si>
  <si>
    <t>E05005377</t>
  </si>
  <si>
    <t>Up Holland</t>
  </si>
  <si>
    <t>E05005378</t>
  </si>
  <si>
    <t>Wrightington</t>
  </si>
  <si>
    <t>E05005379</t>
  </si>
  <si>
    <t>Southport CC (pt)</t>
  </si>
  <si>
    <t>* as created by The District of West Lancashire (Electoral Changes) Order 2001 and</t>
  </si>
  <si>
    <t xml:space="preserve">   as altered by The West Lancashire (Parish Electoral Arrangements and Electoral Changes) Order 2007</t>
  </si>
  <si>
    <t xml:space="preserve">   District granted Borough status on 20 May 2009</t>
  </si>
  <si>
    <t>WYRE BOROUGH  *</t>
  </si>
  <si>
    <t>Bourne</t>
  </si>
  <si>
    <t>E05009932</t>
  </si>
  <si>
    <t>Breck</t>
  </si>
  <si>
    <t>E05009933</t>
  </si>
  <si>
    <t>Brock with Catterrall</t>
  </si>
  <si>
    <t>E05009934</t>
  </si>
  <si>
    <t>E05009935</t>
  </si>
  <si>
    <t>Carleton</t>
  </si>
  <si>
    <t>E05009936</t>
  </si>
  <si>
    <t>Cleveleys Park</t>
  </si>
  <si>
    <t>E05009937</t>
  </si>
  <si>
    <t>Garstang</t>
  </si>
  <si>
    <t>E05009938</t>
  </si>
  <si>
    <t>Great Eccleston</t>
  </si>
  <si>
    <t>E05009939</t>
  </si>
  <si>
    <t>Hambleton &amp; Stalmine</t>
  </si>
  <si>
    <t>E05009940</t>
  </si>
  <si>
    <t>Hardhorn with High Cross</t>
  </si>
  <si>
    <t>E05009941</t>
  </si>
  <si>
    <t>E05009942</t>
  </si>
  <si>
    <t>Marsh Mill</t>
  </si>
  <si>
    <t>E05009943</t>
  </si>
  <si>
    <t>Mount</t>
  </si>
  <si>
    <t>E05009944</t>
  </si>
  <si>
    <t>E05009945</t>
  </si>
  <si>
    <t>Pharos</t>
  </si>
  <si>
    <t>E05009946</t>
  </si>
  <si>
    <t>Pheasant's Wood</t>
  </si>
  <si>
    <t>E05009947</t>
  </si>
  <si>
    <t>Pilling</t>
  </si>
  <si>
    <t>E05009948</t>
  </si>
  <si>
    <t>Preesall</t>
  </si>
  <si>
    <t>E05009949</t>
  </si>
  <si>
    <t>Rossall</t>
  </si>
  <si>
    <t>E05009950</t>
  </si>
  <si>
    <t>Stanah</t>
  </si>
  <si>
    <t>E05009951</t>
  </si>
  <si>
    <t>Tithebarn</t>
  </si>
  <si>
    <t>E05009952</t>
  </si>
  <si>
    <t>Victoria &amp; Norcross</t>
  </si>
  <si>
    <t>E05009953</t>
  </si>
  <si>
    <t>Warren</t>
  </si>
  <si>
    <t>E05009954</t>
  </si>
  <si>
    <t>Wyresdale</t>
  </si>
  <si>
    <t>E05009955</t>
  </si>
  <si>
    <t>* as created by The Wyre (Electoral Changes) Order 2014</t>
  </si>
  <si>
    <t>KNOWSLEY BOROUGH</t>
  </si>
  <si>
    <t>CITY OF LIVERPOOL</t>
  </si>
  <si>
    <t>ST HELENS BOROUGH</t>
  </si>
  <si>
    <t>SEFTON BOROUGH</t>
  </si>
  <si>
    <t>WIRRAL BOROUGH</t>
  </si>
  <si>
    <t>Bebington and Heswall BC</t>
  </si>
  <si>
    <t>Birkenhead BC</t>
  </si>
  <si>
    <t>Bootle BC</t>
  </si>
  <si>
    <t>Liverpool (pt)</t>
  </si>
  <si>
    <t>Sefton (pt)</t>
  </si>
  <si>
    <t>Garston and Halewood BC</t>
  </si>
  <si>
    <t>Knowsley (pt)</t>
  </si>
  <si>
    <t>Knowsley BC</t>
  </si>
  <si>
    <t>Liverpool Riverside BC</t>
  </si>
  <si>
    <t>Liverpool Wavertree BC</t>
  </si>
  <si>
    <t>Liverpool West Derby BC</t>
  </si>
  <si>
    <t>St Helens North BC</t>
  </si>
  <si>
    <t>St Helens (pt)</t>
  </si>
  <si>
    <t>St Helens South and Whiston BC</t>
  </si>
  <si>
    <t>Sefton Central CC</t>
  </si>
  <si>
    <t>Wallasey BC</t>
  </si>
  <si>
    <t>KNOWSLEY BOROUGH  *</t>
  </si>
  <si>
    <t>Cherryfield</t>
  </si>
  <si>
    <t>E05000865</t>
  </si>
  <si>
    <t>Halewood North</t>
  </si>
  <si>
    <t>E05000866</t>
  </si>
  <si>
    <t>Halewood South</t>
  </si>
  <si>
    <t>E05000867</t>
  </si>
  <si>
    <t>Halewood West</t>
  </si>
  <si>
    <t>E05000868</t>
  </si>
  <si>
    <t>Kirkby Central</t>
  </si>
  <si>
    <t>E05000869</t>
  </si>
  <si>
    <t>Longview</t>
  </si>
  <si>
    <t>E05000870</t>
  </si>
  <si>
    <t>E05000871</t>
  </si>
  <si>
    <t>Page Moss</t>
  </si>
  <si>
    <t>E05000872</t>
  </si>
  <si>
    <t>E05000873</t>
  </si>
  <si>
    <t>Prescot East</t>
  </si>
  <si>
    <t>E05000874</t>
  </si>
  <si>
    <t>Prescot West</t>
  </si>
  <si>
    <t>E05000875</t>
  </si>
  <si>
    <t>Roby</t>
  </si>
  <si>
    <t>E05000876</t>
  </si>
  <si>
    <t>E05000877</t>
  </si>
  <si>
    <t>St Gabriels</t>
  </si>
  <si>
    <t>E05000878</t>
  </si>
  <si>
    <t>St Michaels</t>
  </si>
  <si>
    <t>E05000879</t>
  </si>
  <si>
    <t>Shevington</t>
  </si>
  <si>
    <t>E05000880</t>
  </si>
  <si>
    <t>Stockbridge</t>
  </si>
  <si>
    <t>E05000881</t>
  </si>
  <si>
    <t>Swanside</t>
  </si>
  <si>
    <t>E05000882</t>
  </si>
  <si>
    <t>Whiston North</t>
  </si>
  <si>
    <t>E05000883</t>
  </si>
  <si>
    <t>Whiston South</t>
  </si>
  <si>
    <t>E05000884</t>
  </si>
  <si>
    <t>E05000885</t>
  </si>
  <si>
    <t>Garston and Halewood BC (pt)</t>
  </si>
  <si>
    <t>St Helens South and Whiston BC (pt)</t>
  </si>
  <si>
    <t>* as created by The Borough of Knowsley (Electoral Changes) Order 2003</t>
  </si>
  <si>
    <t>CITY OF LIVERPOOL  *</t>
  </si>
  <si>
    <t>Allerton and Hunts Cross</t>
  </si>
  <si>
    <t>E05000886</t>
  </si>
  <si>
    <t>Anfield</t>
  </si>
  <si>
    <t>E05000887</t>
  </si>
  <si>
    <t>E05000888</t>
  </si>
  <si>
    <t>E05000889</t>
  </si>
  <si>
    <t>Childwall</t>
  </si>
  <si>
    <t>E05000890</t>
  </si>
  <si>
    <t>E05000891</t>
  </si>
  <si>
    <t>Clubmoor</t>
  </si>
  <si>
    <t>E05000892</t>
  </si>
  <si>
    <t>County</t>
  </si>
  <si>
    <t>E05000893</t>
  </si>
  <si>
    <t>Cressington</t>
  </si>
  <si>
    <t>E05000894</t>
  </si>
  <si>
    <t>Croxteth</t>
  </si>
  <si>
    <t>E05000895</t>
  </si>
  <si>
    <t>E05000896</t>
  </si>
  <si>
    <t>Fazakerley</t>
  </si>
  <si>
    <t>E05000897</t>
  </si>
  <si>
    <t>Greenbank</t>
  </si>
  <si>
    <t>E05000898</t>
  </si>
  <si>
    <t>Kensington and Fairfield</t>
  </si>
  <si>
    <t>E05000899</t>
  </si>
  <si>
    <t>Kirkdale</t>
  </si>
  <si>
    <t>E05000900</t>
  </si>
  <si>
    <t>Knotty Ash</t>
  </si>
  <si>
    <t>E05000901</t>
  </si>
  <si>
    <t>Mossley Hill</t>
  </si>
  <si>
    <t>E05000902</t>
  </si>
  <si>
    <t>Norris Green</t>
  </si>
  <si>
    <t>E05000903</t>
  </si>
  <si>
    <t>Old Swan</t>
  </si>
  <si>
    <t>E05000904</t>
  </si>
  <si>
    <t>Picton</t>
  </si>
  <si>
    <t>E05000905</t>
  </si>
  <si>
    <t>Princes Park</t>
  </si>
  <si>
    <t>E05000906</t>
  </si>
  <si>
    <t>E05000907</t>
  </si>
  <si>
    <t>E05000908</t>
  </si>
  <si>
    <t>Speke-Garston</t>
  </si>
  <si>
    <t>E05000909</t>
  </si>
  <si>
    <t>Tuebrook and Stoneycroft</t>
  </si>
  <si>
    <t>E05000910</t>
  </si>
  <si>
    <t>E05000911</t>
  </si>
  <si>
    <t>Wavertree</t>
  </si>
  <si>
    <t>E05000912</t>
  </si>
  <si>
    <t>West Derby</t>
  </si>
  <si>
    <t>E05000913</t>
  </si>
  <si>
    <t>Woolton</t>
  </si>
  <si>
    <t>E05000914</t>
  </si>
  <si>
    <t>Yew Tree</t>
  </si>
  <si>
    <t>E05000915</t>
  </si>
  <si>
    <t>Bootle BC (pt)</t>
  </si>
  <si>
    <t>* as created by The City of Liverpool (Electoral Changes) Order 2003</t>
  </si>
  <si>
    <t>ST HELENS BOROUGH  *</t>
  </si>
  <si>
    <t>Billinge and Seneley Green</t>
  </si>
  <si>
    <t>E05000916</t>
  </si>
  <si>
    <t>E05000917</t>
  </si>
  <si>
    <t>Bold</t>
  </si>
  <si>
    <t>E05000918</t>
  </si>
  <si>
    <t>Earlestown</t>
  </si>
  <si>
    <t>E05000919</t>
  </si>
  <si>
    <t>Eccleston</t>
  </si>
  <si>
    <t>E05000920</t>
  </si>
  <si>
    <t>Haydock</t>
  </si>
  <si>
    <t>E05000921</t>
  </si>
  <si>
    <t>Moss Bank</t>
  </si>
  <si>
    <t>E05000922</t>
  </si>
  <si>
    <t>E05000923</t>
  </si>
  <si>
    <t>Parr</t>
  </si>
  <si>
    <t>E05000924</t>
  </si>
  <si>
    <t>Rainford</t>
  </si>
  <si>
    <t>E05000925</t>
  </si>
  <si>
    <t>Rainhill</t>
  </si>
  <si>
    <t>E05000926</t>
  </si>
  <si>
    <t>E05000927</t>
  </si>
  <si>
    <t>Thatto Heath</t>
  </si>
  <si>
    <t>E05000928</t>
  </si>
  <si>
    <t>E05000929</t>
  </si>
  <si>
    <t>E05000930</t>
  </si>
  <si>
    <t>Windle</t>
  </si>
  <si>
    <t>E05000931</t>
  </si>
  <si>
    <t xml:space="preserve">* as created by The Borough of St Helens (Electoral Changes) Order 2003 </t>
  </si>
  <si>
    <t>SEFTON BOROUGH  *</t>
  </si>
  <si>
    <t>Ainsdale</t>
  </si>
  <si>
    <t>E05000932</t>
  </si>
  <si>
    <t>Birkdale</t>
  </si>
  <si>
    <t>E05000933</t>
  </si>
  <si>
    <t>Blundellsands</t>
  </si>
  <si>
    <t>E05000934</t>
  </si>
  <si>
    <t>E05000935</t>
  </si>
  <si>
    <t>E05000936</t>
  </si>
  <si>
    <t>E05000937</t>
  </si>
  <si>
    <t>Duke's</t>
  </si>
  <si>
    <t>E05000938</t>
  </si>
  <si>
    <t>Ford</t>
  </si>
  <si>
    <t>E05000939</t>
  </si>
  <si>
    <t>Harington</t>
  </si>
  <si>
    <t>E05000940</t>
  </si>
  <si>
    <t>E05000941</t>
  </si>
  <si>
    <t>E05000942</t>
  </si>
  <si>
    <t>Litherland</t>
  </si>
  <si>
    <t>E05000943</t>
  </si>
  <si>
    <t>E05000944</t>
  </si>
  <si>
    <t>Meols</t>
  </si>
  <si>
    <t>E05000945</t>
  </si>
  <si>
    <t>Molyneux</t>
  </si>
  <si>
    <t>E05000946</t>
  </si>
  <si>
    <t>Netherton and Orrell</t>
  </si>
  <si>
    <t>E05000947</t>
  </si>
  <si>
    <t>Norwood</t>
  </si>
  <si>
    <t>E05000948</t>
  </si>
  <si>
    <t>E05000949</t>
  </si>
  <si>
    <t>Ravenmeols</t>
  </si>
  <si>
    <t>E05000950</t>
  </si>
  <si>
    <t>E05000951</t>
  </si>
  <si>
    <t>E05000952</t>
  </si>
  <si>
    <t>E05000953</t>
  </si>
  <si>
    <t>* as created by The Borough of Sefton (Electoral Changes) Order 2003</t>
  </si>
  <si>
    <t>WIRRAL BOROUGH  *</t>
  </si>
  <si>
    <t>Bebington</t>
  </si>
  <si>
    <t>E05000954</t>
  </si>
  <si>
    <t>Bidston and St James</t>
  </si>
  <si>
    <t>E05000955</t>
  </si>
  <si>
    <t>Birkenhead and Tranmere</t>
  </si>
  <si>
    <t>E05000956</t>
  </si>
  <si>
    <t>Bromborough</t>
  </si>
  <si>
    <t>E05000957</t>
  </si>
  <si>
    <t>Clatterbridge</t>
  </si>
  <si>
    <t>E05000958</t>
  </si>
  <si>
    <t>Claughton</t>
  </si>
  <si>
    <t>E05000959</t>
  </si>
  <si>
    <t>Eastham</t>
  </si>
  <si>
    <t>E05000960</t>
  </si>
  <si>
    <t>Greasby, Frankby and Irby</t>
  </si>
  <si>
    <t>E05000961</t>
  </si>
  <si>
    <t>Heswall</t>
  </si>
  <si>
    <t>E05000962</t>
  </si>
  <si>
    <t>Hoylake and Meols</t>
  </si>
  <si>
    <t>E05000963</t>
  </si>
  <si>
    <t>Leasowe and Moreton East</t>
  </si>
  <si>
    <t>E05000964</t>
  </si>
  <si>
    <t>Liscard</t>
  </si>
  <si>
    <t>E05000965</t>
  </si>
  <si>
    <t>Moreton West and Saughall Massie</t>
  </si>
  <si>
    <t>E05000966</t>
  </si>
  <si>
    <t>New Brighton</t>
  </si>
  <si>
    <t>E05000967</t>
  </si>
  <si>
    <t>Oxton</t>
  </si>
  <si>
    <t>E05000968</t>
  </si>
  <si>
    <t>Pensby and Thingwall</t>
  </si>
  <si>
    <t>E05000969</t>
  </si>
  <si>
    <t>Prenton</t>
  </si>
  <si>
    <t>E05000970</t>
  </si>
  <si>
    <t>Rock Ferry</t>
  </si>
  <si>
    <t>E05000971</t>
  </si>
  <si>
    <t>Seacombe</t>
  </si>
  <si>
    <t>E05000972</t>
  </si>
  <si>
    <t>E05000973</t>
  </si>
  <si>
    <t>Wallasey</t>
  </si>
  <si>
    <t>E05000974</t>
  </si>
  <si>
    <t>West Kirby and Thurstaston</t>
  </si>
  <si>
    <t>E05000975</t>
  </si>
  <si>
    <t>Ellesmere Port and Neston CC (pt)</t>
  </si>
  <si>
    <t>* as created by The Borough of Wirral (Electoral Changes) Order 2003</t>
  </si>
  <si>
    <t>Bracknell Forest *</t>
  </si>
  <si>
    <t>Reading *</t>
  </si>
  <si>
    <t>Slough *</t>
  </si>
  <si>
    <t>West Berkshire *</t>
  </si>
  <si>
    <t>Windsor and Maidenhead *</t>
  </si>
  <si>
    <t>Wokingham *</t>
  </si>
  <si>
    <t>"BERKSHIRE" #</t>
  </si>
  <si>
    <t>Aylesbury Vale</t>
  </si>
  <si>
    <t>Chiltern</t>
  </si>
  <si>
    <t>South Bucks</t>
  </si>
  <si>
    <t>Wycombe</t>
  </si>
  <si>
    <t>BUCKINGHAMSHIRE</t>
  </si>
  <si>
    <t>Milton Keynes *</t>
  </si>
  <si>
    <t>BUCKINGHAMSHIRE &amp; MILTON KEYNES</t>
  </si>
  <si>
    <t>Hastings</t>
  </si>
  <si>
    <t>Lewes</t>
  </si>
  <si>
    <t>Wealden</t>
  </si>
  <si>
    <t>EAST SUSSEX</t>
  </si>
  <si>
    <t>Brighton and Hove *</t>
  </si>
  <si>
    <t>EAST SUSSEX &amp; BRIGHTON AND HOVE</t>
  </si>
  <si>
    <t>Basingstoke and Deane</t>
  </si>
  <si>
    <t>East Hampshire</t>
  </si>
  <si>
    <t>Eastleigh</t>
  </si>
  <si>
    <t>Fareham</t>
  </si>
  <si>
    <t>Gosport</t>
  </si>
  <si>
    <t>Havant</t>
  </si>
  <si>
    <t>New Forest</t>
  </si>
  <si>
    <t>Rushmoor</t>
  </si>
  <si>
    <t>Test Valley</t>
  </si>
  <si>
    <t>Winchester</t>
  </si>
  <si>
    <t>HAMPSHIRE</t>
  </si>
  <si>
    <t>Portsmouth *</t>
  </si>
  <si>
    <t>Southampton *</t>
  </si>
  <si>
    <t>HAMPSHIRE, PORTSMOUTH &amp; SOUTHAMPTON</t>
  </si>
  <si>
    <t>Isle of Wight *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</si>
  <si>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</si>
  <si>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</si>
  <si>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</si>
  <si>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</si>
  <si>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</si>
  <si>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</si>
  <si>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</si>
  <si>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</si>
  <si>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</si>
  <si>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</si>
  <si>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</si>
  <si>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</si>
  <si>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KENT</t>
  </si>
  <si>
    <t>Medway *</t>
  </si>
  <si>
    <t>KENT &amp; MEDWAY</t>
  </si>
  <si>
    <t>Cherwell</t>
  </si>
  <si>
    <t>Oxford</t>
  </si>
  <si>
    <t>South Oxfordshire</t>
  </si>
  <si>
    <t>Vale of White Horse</t>
  </si>
  <si>
    <t>West Oxfordshire</t>
  </si>
  <si>
    <t>OXFORDSHIRE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</si>
  <si>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</si>
  <si>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</si>
  <si>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</si>
  <si>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</si>
  <si>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</si>
  <si>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</si>
  <si>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</si>
  <si>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</si>
  <si>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</si>
  <si>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</si>
  <si>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SURREY</t>
  </si>
  <si>
    <t>Adur</t>
  </si>
  <si>
    <t>Arun</t>
  </si>
  <si>
    <t>Chichester</t>
  </si>
  <si>
    <t>Horsham</t>
  </si>
  <si>
    <t>Mid Sussex</t>
  </si>
  <si>
    <t>Worthing</t>
  </si>
  <si>
    <t>WEST SUSSEX</t>
  </si>
  <si>
    <t>SOUTH EAST REGION</t>
  </si>
  <si>
    <t>BRACKNELL FOREST BOROUGH  *</t>
  </si>
  <si>
    <t>READING BOROUGH  *</t>
  </si>
  <si>
    <t>SLOUGH BOROUGH  *</t>
  </si>
  <si>
    <t>WEST BERKSHIRE DISTRICT  *</t>
  </si>
  <si>
    <t>WINDSOR AND MAIDENHEAD BOROUGH  *</t>
  </si>
  <si>
    <t>WOKINGHAM DISTRICT  *</t>
  </si>
  <si>
    <t>Bracknell CC</t>
  </si>
  <si>
    <t>Bracknell Forest (pt)</t>
  </si>
  <si>
    <t>Wokingham (pt)</t>
  </si>
  <si>
    <t>Maidenhead CC</t>
  </si>
  <si>
    <t>Windsor and Maidenhead (pt)</t>
  </si>
  <si>
    <t>Newbury CC</t>
  </si>
  <si>
    <t>West Berkshire (pt)</t>
  </si>
  <si>
    <t>Reading East BC</t>
  </si>
  <si>
    <t>Reading (pt)</t>
  </si>
  <si>
    <t>Reading West BC</t>
  </si>
  <si>
    <t>Slough BC</t>
  </si>
  <si>
    <t>Slough (pt)</t>
  </si>
  <si>
    <t>Windsor CC</t>
  </si>
  <si>
    <t>Wokingham CC</t>
  </si>
  <si>
    <t>* as created by The Berkshire (Structural Change) Order 1996</t>
  </si>
  <si>
    <t>Ascot</t>
  </si>
  <si>
    <t>E05002271</t>
  </si>
  <si>
    <t>Binfield with Warfield</t>
  </si>
  <si>
    <t>E05002272</t>
  </si>
  <si>
    <t>Bullbrook</t>
  </si>
  <si>
    <t>E05002273</t>
  </si>
  <si>
    <t>Central Sandhurst</t>
  </si>
  <si>
    <t>E05002274</t>
  </si>
  <si>
    <t>College Town</t>
  </si>
  <si>
    <t>E05002275</t>
  </si>
  <si>
    <t>Crown Wood</t>
  </si>
  <si>
    <t>E05002276</t>
  </si>
  <si>
    <t>Crowthorne</t>
  </si>
  <si>
    <t>E05002277</t>
  </si>
  <si>
    <t>Great Hollands North</t>
  </si>
  <si>
    <t>E05002278</t>
  </si>
  <si>
    <t>Great Hollands South</t>
  </si>
  <si>
    <t>E05002279</t>
  </si>
  <si>
    <t>E05002280</t>
  </si>
  <si>
    <t>Harmans Water</t>
  </si>
  <si>
    <t>E05002281</t>
  </si>
  <si>
    <t>Little Sandhurst and Wellington</t>
  </si>
  <si>
    <t>E05002282</t>
  </si>
  <si>
    <t>Old Bracknell</t>
  </si>
  <si>
    <t>E05002283</t>
  </si>
  <si>
    <t>Owlsmoor</t>
  </si>
  <si>
    <t>E05002284</t>
  </si>
  <si>
    <t>Priestwood and Garth</t>
  </si>
  <si>
    <t>E05002285</t>
  </si>
  <si>
    <t>Warfield Harvest Ride</t>
  </si>
  <si>
    <t>E05002286</t>
  </si>
  <si>
    <t>Wildridings and Central</t>
  </si>
  <si>
    <t>E05002287</t>
  </si>
  <si>
    <t>Winkfield and Cranbourne</t>
  </si>
  <si>
    <t>E05002288</t>
  </si>
  <si>
    <t>Bracknell CC (pt)</t>
  </si>
  <si>
    <t>Windsor CC (pt)</t>
  </si>
  <si>
    <t>* as created by The Borough of Bracknell Forest (Electoral Changes) Order 2002</t>
  </si>
  <si>
    <t>E05002319</t>
  </si>
  <si>
    <t>Battle</t>
  </si>
  <si>
    <t>E05002320</t>
  </si>
  <si>
    <t>Caversham</t>
  </si>
  <si>
    <t>E05002321</t>
  </si>
  <si>
    <t>E05002322</t>
  </si>
  <si>
    <t>Katesgrove</t>
  </si>
  <si>
    <t>E05002323</t>
  </si>
  <si>
    <t>Kentwood</t>
  </si>
  <si>
    <t>E05002324</t>
  </si>
  <si>
    <t>Mapledurham</t>
  </si>
  <si>
    <t>E05002325</t>
  </si>
  <si>
    <t>E05002326</t>
  </si>
  <si>
    <t>Norcot</t>
  </si>
  <si>
    <t>E05002327</t>
  </si>
  <si>
    <t>E05002328</t>
  </si>
  <si>
    <t>Peppard</t>
  </si>
  <si>
    <t>E05002329</t>
  </si>
  <si>
    <t>Redlands</t>
  </si>
  <si>
    <t>E05002330</t>
  </si>
  <si>
    <t>Southcote</t>
  </si>
  <si>
    <t>E05002331</t>
  </si>
  <si>
    <t>E05002332</t>
  </si>
  <si>
    <t>Tilehurst</t>
  </si>
  <si>
    <t>E05002333</t>
  </si>
  <si>
    <t>E05002334</t>
  </si>
  <si>
    <t>Reading East BC (pt)</t>
  </si>
  <si>
    <t>Reading West BC (pt)</t>
  </si>
  <si>
    <t>* as created by The Borough of Reading (Electoral Changes) Order 2002</t>
  </si>
  <si>
    <t>Baylis and Stoke</t>
  </si>
  <si>
    <t>E05009337</t>
  </si>
  <si>
    <t>Britwell and Northborough</t>
  </si>
  <si>
    <t>E05009338</t>
  </si>
  <si>
    <t>E05009339</t>
  </si>
  <si>
    <t>Chalvey</t>
  </si>
  <si>
    <t>E05009340</t>
  </si>
  <si>
    <t>Cippenham Green</t>
  </si>
  <si>
    <t>E05009341</t>
  </si>
  <si>
    <t>Cippenham Meadows</t>
  </si>
  <si>
    <t>E05009342</t>
  </si>
  <si>
    <t>Colnbrook with Poyle</t>
  </si>
  <si>
    <t>E05009343</t>
  </si>
  <si>
    <t>Elliman</t>
  </si>
  <si>
    <t>E05009344</t>
  </si>
  <si>
    <t>Farnham</t>
  </si>
  <si>
    <t>E05009345</t>
  </si>
  <si>
    <t>Foxborough</t>
  </si>
  <si>
    <t>E05009346</t>
  </si>
  <si>
    <t>Haymill and Lynch Hill</t>
  </si>
  <si>
    <t>E05009347</t>
  </si>
  <si>
    <t>Langley Kedermister</t>
  </si>
  <si>
    <t>E05009348</t>
  </si>
  <si>
    <t>Langley St Mary's</t>
  </si>
  <si>
    <t>E05009349</t>
  </si>
  <si>
    <t>E05009350</t>
  </si>
  <si>
    <t>Wexham Lea</t>
  </si>
  <si>
    <t>E05009351</t>
  </si>
  <si>
    <t>* as created by The Slough (Electoral Changes) Order 2012</t>
  </si>
  <si>
    <t>Aldermaston</t>
  </si>
  <si>
    <t>E05002289</t>
  </si>
  <si>
    <t>E05002290</t>
  </si>
  <si>
    <t>Birch Copse</t>
  </si>
  <si>
    <t>E05002291</t>
  </si>
  <si>
    <t>Bucklebury</t>
  </si>
  <si>
    <t>E05002292</t>
  </si>
  <si>
    <t>Burghfield</t>
  </si>
  <si>
    <t>E05002293</t>
  </si>
  <si>
    <t>Calcot</t>
  </si>
  <si>
    <t>E05002294</t>
  </si>
  <si>
    <t>Chieveley</t>
  </si>
  <si>
    <t>E05002295</t>
  </si>
  <si>
    <t>Clay Hill</t>
  </si>
  <si>
    <t>E05002296</t>
  </si>
  <si>
    <t>Cold Ash</t>
  </si>
  <si>
    <t>E05002297</t>
  </si>
  <si>
    <t>E05002298</t>
  </si>
  <si>
    <t>Downlands</t>
  </si>
  <si>
    <t>E05002299</t>
  </si>
  <si>
    <t>Falkland</t>
  </si>
  <si>
    <t>E05002300</t>
  </si>
  <si>
    <t>Greenham</t>
  </si>
  <si>
    <t>E05002301</t>
  </si>
  <si>
    <t>Hungerford</t>
  </si>
  <si>
    <t>E05002302</t>
  </si>
  <si>
    <t>Kintbury</t>
  </si>
  <si>
    <t>E05002303</t>
  </si>
  <si>
    <t>Lambourn Valley</t>
  </si>
  <si>
    <t>E05002304</t>
  </si>
  <si>
    <t>E05002305</t>
  </si>
  <si>
    <t>Northcroft</t>
  </si>
  <si>
    <t>E05002306</t>
  </si>
  <si>
    <t>Pangbourne</t>
  </si>
  <si>
    <t>E05002307</t>
  </si>
  <si>
    <t>Purley on Thames</t>
  </si>
  <si>
    <t>E05002308</t>
  </si>
  <si>
    <t>E05002309</t>
  </si>
  <si>
    <t>Speen</t>
  </si>
  <si>
    <t>E05002310</t>
  </si>
  <si>
    <t>Sulhamstead</t>
  </si>
  <si>
    <t>E05002311</t>
  </si>
  <si>
    <t>Thatcham Central</t>
  </si>
  <si>
    <t>E05002312</t>
  </si>
  <si>
    <t>Thatcham North</t>
  </si>
  <si>
    <t>E05002313</t>
  </si>
  <si>
    <t>Thatcham South and Crookham</t>
  </si>
  <si>
    <t>E05002314</t>
  </si>
  <si>
    <t>Thatcham West</t>
  </si>
  <si>
    <t>E05002315</t>
  </si>
  <si>
    <t>Theale</t>
  </si>
  <si>
    <t>E05002316</t>
  </si>
  <si>
    <t>E05002317</t>
  </si>
  <si>
    <t>E05002318</t>
  </si>
  <si>
    <t>Wokingham CC (pt)</t>
  </si>
  <si>
    <t>* as created by The District of West Berkshire (Electoral Changes) Order 2002</t>
  </si>
  <si>
    <t>Ascot and Cheapside</t>
  </si>
  <si>
    <t>E05002349</t>
  </si>
  <si>
    <t>E05002350</t>
  </si>
  <si>
    <t>Bisham and Cookham</t>
  </si>
  <si>
    <t>E05002351</t>
  </si>
  <si>
    <t>Boyn Hill</t>
  </si>
  <si>
    <t>E05002352</t>
  </si>
  <si>
    <t>Bray</t>
  </si>
  <si>
    <t>E05002353</t>
  </si>
  <si>
    <t>Castle Without</t>
  </si>
  <si>
    <t>E05002354</t>
  </si>
  <si>
    <t>Clewer East</t>
  </si>
  <si>
    <t>E05002355</t>
  </si>
  <si>
    <t>Clewer North</t>
  </si>
  <si>
    <t>E05002356</t>
  </si>
  <si>
    <t>Clewer South</t>
  </si>
  <si>
    <t>E05002357</t>
  </si>
  <si>
    <t>Cox Green</t>
  </si>
  <si>
    <t>E05002358</t>
  </si>
  <si>
    <t>Datchet</t>
  </si>
  <si>
    <t>E05002359</t>
  </si>
  <si>
    <t>Eton and Castle</t>
  </si>
  <si>
    <t>E05002360</t>
  </si>
  <si>
    <t>Eton Wick</t>
  </si>
  <si>
    <t>E05002361</t>
  </si>
  <si>
    <t>Furze Platt</t>
  </si>
  <si>
    <t>E05002362</t>
  </si>
  <si>
    <t>Horton and Wraysbury</t>
  </si>
  <si>
    <t>E05002363</t>
  </si>
  <si>
    <t>Hurley and Walthams</t>
  </si>
  <si>
    <t>E05002364</t>
  </si>
  <si>
    <t>Maidenhead Riverside</t>
  </si>
  <si>
    <t>E05002365</t>
  </si>
  <si>
    <t>Old Windsor</t>
  </si>
  <si>
    <t>E05002366</t>
  </si>
  <si>
    <t>E05002367</t>
  </si>
  <si>
    <t>E05002368</t>
  </si>
  <si>
    <t>Pinkneys Green</t>
  </si>
  <si>
    <t>E05002369</t>
  </si>
  <si>
    <t>Sunningdale</t>
  </si>
  <si>
    <t>E05002370</t>
  </si>
  <si>
    <t>Sunninghill and South Ascot</t>
  </si>
  <si>
    <t>E05002371</t>
  </si>
  <si>
    <t>Maidenhead CC (pt)</t>
  </si>
  <si>
    <t>* as created by The Royal Borough of Windsor and Maidenhead (Electoral Changes) Order 2002</t>
  </si>
  <si>
    <t>Arborfield</t>
  </si>
  <si>
    <t>E05002372</t>
  </si>
  <si>
    <t>Barkham</t>
  </si>
  <si>
    <t>E05002373</t>
  </si>
  <si>
    <t>Bulmershe and Whitegates</t>
  </si>
  <si>
    <t>E05002374</t>
  </si>
  <si>
    <t>Charvil</t>
  </si>
  <si>
    <t>E05002375</t>
  </si>
  <si>
    <t>Coronation</t>
  </si>
  <si>
    <t>E05002376</t>
  </si>
  <si>
    <t>Emmbrook</t>
  </si>
  <si>
    <t>E05002377</t>
  </si>
  <si>
    <t>Evendons</t>
  </si>
  <si>
    <t>E05002378</t>
  </si>
  <si>
    <t>Finchampstead North</t>
  </si>
  <si>
    <t>E05002379</t>
  </si>
  <si>
    <t>Finchampstead South</t>
  </si>
  <si>
    <t>E05002380</t>
  </si>
  <si>
    <t>Hawkedon</t>
  </si>
  <si>
    <t>E05002381</t>
  </si>
  <si>
    <t>E05002382</t>
  </si>
  <si>
    <t>Hurst</t>
  </si>
  <si>
    <t>E05002383</t>
  </si>
  <si>
    <t>E05002384</t>
  </si>
  <si>
    <t>Maiden Erlegh</t>
  </si>
  <si>
    <t>E05002385</t>
  </si>
  <si>
    <t>Norreys</t>
  </si>
  <si>
    <t>E05002386</t>
  </si>
  <si>
    <t>Remenham, Wargrave and Ruscombe</t>
  </si>
  <si>
    <t>E05002387</t>
  </si>
  <si>
    <t>Shinfield North</t>
  </si>
  <si>
    <t>E05002388</t>
  </si>
  <si>
    <t>Shinfield South</t>
  </si>
  <si>
    <t>E05002389</t>
  </si>
  <si>
    <t>Sonning</t>
  </si>
  <si>
    <t>E05002390</t>
  </si>
  <si>
    <t>South Lake</t>
  </si>
  <si>
    <t>E05002391</t>
  </si>
  <si>
    <t>Swallowfield</t>
  </si>
  <si>
    <t>E05002392</t>
  </si>
  <si>
    <t>Twyford</t>
  </si>
  <si>
    <t>E05002393</t>
  </si>
  <si>
    <t>Wescott</t>
  </si>
  <si>
    <t>E05002394</t>
  </si>
  <si>
    <t>Winnersh</t>
  </si>
  <si>
    <t>E05002395</t>
  </si>
  <si>
    <t>Wokingham Without</t>
  </si>
  <si>
    <t>E05002396</t>
  </si>
  <si>
    <t>* as created by The District of Wokingham (Electoral Changes) Order 2002</t>
  </si>
  <si>
    <t>MILTON KEYNES BOROUGH  *</t>
  </si>
  <si>
    <t>AYLESBURY VALE DISTRICT</t>
  </si>
  <si>
    <t>CHILTERN DISTRICT</t>
  </si>
  <si>
    <t>SOUTH BUCKS DISTRICT</t>
  </si>
  <si>
    <t>WYCOMBE DISTRICT</t>
  </si>
  <si>
    <t>Aylesbury CC</t>
  </si>
  <si>
    <t>Aylesbury Vale (pt)</t>
  </si>
  <si>
    <t>Beaconsfield CC</t>
  </si>
  <si>
    <t>Wycombe (pt)</t>
  </si>
  <si>
    <t>Buckingham CC</t>
  </si>
  <si>
    <t>Milton Keynes (pt)</t>
  </si>
  <si>
    <t>Chesham and Amersham CC</t>
  </si>
  <si>
    <t>Milton Keynes Bletchley BC</t>
  </si>
  <si>
    <t>Milton Keynes Newport Pagnell CC</t>
  </si>
  <si>
    <t>Wycombe CC</t>
  </si>
  <si>
    <t>* as created by The Buckinghamshire (Borough of Milton Keynes) Structural Change Order 1995</t>
  </si>
  <si>
    <t>Bletchley East</t>
  </si>
  <si>
    <t>E05009406</t>
  </si>
  <si>
    <t>Bletchley Park</t>
  </si>
  <si>
    <t>E05009407</t>
  </si>
  <si>
    <t>Bletchley West</t>
  </si>
  <si>
    <t>E05009408</t>
  </si>
  <si>
    <t>E05009409</t>
  </si>
  <si>
    <t>E05009410</t>
  </si>
  <si>
    <t>Campbell Park &amp; Old Woughton</t>
  </si>
  <si>
    <t>E05009411</t>
  </si>
  <si>
    <t>Central Milton Keynes</t>
  </si>
  <si>
    <t>E05009412</t>
  </si>
  <si>
    <t>Danesborough &amp; Walton</t>
  </si>
  <si>
    <t>E05009413</t>
  </si>
  <si>
    <t>Loughton &amp; Shenley</t>
  </si>
  <si>
    <t>E05009414</t>
  </si>
  <si>
    <t>Monkston</t>
  </si>
  <si>
    <t>E05009415</t>
  </si>
  <si>
    <t>Newport Pagnell North &amp; Hanslope</t>
  </si>
  <si>
    <t>E05009416</t>
  </si>
  <si>
    <t>Newport Pagnell South</t>
  </si>
  <si>
    <t>E05009417</t>
  </si>
  <si>
    <t>Olney</t>
  </si>
  <si>
    <t>E05009418</t>
  </si>
  <si>
    <t>Shenley Brook End</t>
  </si>
  <si>
    <t>E05009419</t>
  </si>
  <si>
    <t>Stantonbury</t>
  </si>
  <si>
    <t>E05009420</t>
  </si>
  <si>
    <t>Stony Stratford</t>
  </si>
  <si>
    <t>E05009421</t>
  </si>
  <si>
    <t>Tattenhoe</t>
  </si>
  <si>
    <t>E05009422</t>
  </si>
  <si>
    <t>Wolverton</t>
  </si>
  <si>
    <t>E05009423</t>
  </si>
  <si>
    <t>Woughton &amp; Fishermead</t>
  </si>
  <si>
    <t>E05009424</t>
  </si>
  <si>
    <t>Buckingham CC (pt)</t>
  </si>
  <si>
    <t>Milton Keynes South BC</t>
  </si>
  <si>
    <t>* as created by The Milton Keynes (Electoral Changes) Order 2014</t>
  </si>
  <si>
    <t>AYLESBURY VALE DISTRICT  *</t>
  </si>
  <si>
    <t>Aston Clinton &amp; Stoke Mandeville</t>
  </si>
  <si>
    <t>E05010332</t>
  </si>
  <si>
    <t>Bedgrove</t>
  </si>
  <si>
    <t>E05010333</t>
  </si>
  <si>
    <t>Buckingham North</t>
  </si>
  <si>
    <t>E05010334</t>
  </si>
  <si>
    <t>Buckingham South</t>
  </si>
  <si>
    <t>E05010335</t>
  </si>
  <si>
    <t>Central &amp; Walton</t>
  </si>
  <si>
    <t>E05010336</t>
  </si>
  <si>
    <t>E05010337</t>
  </si>
  <si>
    <t>Edlesborough</t>
  </si>
  <si>
    <t>E05010338</t>
  </si>
  <si>
    <t>Elmhurst</t>
  </si>
  <si>
    <t>E05010339</t>
  </si>
  <si>
    <t>Gatehouse</t>
  </si>
  <si>
    <t>E05010340</t>
  </si>
  <si>
    <t>Great Brickhill &amp; Newton Longville</t>
  </si>
  <si>
    <t>E05010341</t>
  </si>
  <si>
    <t>Great Horwood</t>
  </si>
  <si>
    <t>E05010342</t>
  </si>
  <si>
    <t>Grendon Underwood &amp; Brill</t>
  </si>
  <si>
    <t>E05010343</t>
  </si>
  <si>
    <t>Haddenham &amp; Stone</t>
  </si>
  <si>
    <t>E05010344</t>
  </si>
  <si>
    <t>Long Crendon</t>
  </si>
  <si>
    <t>E05010345</t>
  </si>
  <si>
    <t>Luffield Abbey</t>
  </si>
  <si>
    <t>E05010346</t>
  </si>
  <si>
    <t>Mandeville &amp; Elm Farm</t>
  </si>
  <si>
    <t>E05010347</t>
  </si>
  <si>
    <t>Marsh Gibbon</t>
  </si>
  <si>
    <t>E05010348</t>
  </si>
  <si>
    <t>Oakfield &amp; Bierton</t>
  </si>
  <si>
    <t>E05010349</t>
  </si>
  <si>
    <t>E05010350</t>
  </si>
  <si>
    <t>Pitstone &amp; Cheddington</t>
  </si>
  <si>
    <t>E05010351</t>
  </si>
  <si>
    <t>Quainton</t>
  </si>
  <si>
    <t>E05010352</t>
  </si>
  <si>
    <t>E05010353</t>
  </si>
  <si>
    <t>Southcourt</t>
  </si>
  <si>
    <t>E05010354</t>
  </si>
  <si>
    <t>Steeple Claydon</t>
  </si>
  <si>
    <t>E05010355</t>
  </si>
  <si>
    <t>Stewkley</t>
  </si>
  <si>
    <t>E05010356</t>
  </si>
  <si>
    <t>Tingewick</t>
  </si>
  <si>
    <t>E05010357</t>
  </si>
  <si>
    <t>Waddesdon</t>
  </si>
  <si>
    <t>E05010358</t>
  </si>
  <si>
    <t>Walton Court &amp; Hawkslade</t>
  </si>
  <si>
    <t>E05010359</t>
  </si>
  <si>
    <t>Watermead</t>
  </si>
  <si>
    <t>E05010360</t>
  </si>
  <si>
    <t>Wendover &amp; Halton</t>
  </si>
  <si>
    <t>E05010361</t>
  </si>
  <si>
    <t>Wing</t>
  </si>
  <si>
    <t>E05010362</t>
  </si>
  <si>
    <t>Wingrave</t>
  </si>
  <si>
    <t>E05010363</t>
  </si>
  <si>
    <t>Winslow</t>
  </si>
  <si>
    <t>E05010364</t>
  </si>
  <si>
    <t>* as created by The Aylesbury Vale (Electoral Changes) Order 2014</t>
  </si>
  <si>
    <t>CHILTERN DISTRICT  *</t>
  </si>
  <si>
    <t>Amersham Common</t>
  </si>
  <si>
    <t>E05002630</t>
  </si>
  <si>
    <t>Amersham-on-the-Hill</t>
  </si>
  <si>
    <t>E05002631</t>
  </si>
  <si>
    <t>Amersham Town</t>
  </si>
  <si>
    <t>E05002632</t>
  </si>
  <si>
    <t>Asheridge Vale and Lowndes</t>
  </si>
  <si>
    <t>E05002633</t>
  </si>
  <si>
    <t>Ashley Green, Latimer and Chenies</t>
  </si>
  <si>
    <t>E05002634</t>
  </si>
  <si>
    <t>Austenwood</t>
  </si>
  <si>
    <t>E05002635</t>
  </si>
  <si>
    <t>Ballinger, South Heath and Chartridge</t>
  </si>
  <si>
    <t>E05002636</t>
  </si>
  <si>
    <t>E05002637</t>
  </si>
  <si>
    <t>Chalfont Common</t>
  </si>
  <si>
    <t>E05002638</t>
  </si>
  <si>
    <t>Chalfont St Giles</t>
  </si>
  <si>
    <t>E05002639</t>
  </si>
  <si>
    <t>Chesham Bois and Weedon Hill</t>
  </si>
  <si>
    <t>E05002640</t>
  </si>
  <si>
    <t>Cholesbury, The Lee and Bellingdon</t>
  </si>
  <si>
    <t>E05002641</t>
  </si>
  <si>
    <t>Gold Hill</t>
  </si>
  <si>
    <t>E05002642</t>
  </si>
  <si>
    <t>Great Missenden</t>
  </si>
  <si>
    <t>E05002643</t>
  </si>
  <si>
    <t>Hilltop and Townsend</t>
  </si>
  <si>
    <t>E05002644</t>
  </si>
  <si>
    <t>Holmer Green</t>
  </si>
  <si>
    <t>E05002645</t>
  </si>
  <si>
    <t>Little Chalfont</t>
  </si>
  <si>
    <t>E05002646</t>
  </si>
  <si>
    <t>Little Missenden</t>
  </si>
  <si>
    <t>E05002647</t>
  </si>
  <si>
    <t>E05002648</t>
  </si>
  <si>
    <t>Penn and Coleshill</t>
  </si>
  <si>
    <t>E05002649</t>
  </si>
  <si>
    <t>Prestwood and Heath End</t>
  </si>
  <si>
    <t>E05002650</t>
  </si>
  <si>
    <t>E05002651</t>
  </si>
  <si>
    <t>St Mary's and Waterside</t>
  </si>
  <si>
    <t>E05002652</t>
  </si>
  <si>
    <t>Seer Green</t>
  </si>
  <si>
    <t>E05002653</t>
  </si>
  <si>
    <t>E05002654</t>
  </si>
  <si>
    <t>* as created by The District of Chiltern (Electoral Changes) Order 2002 and</t>
  </si>
  <si>
    <t xml:space="preserve">   as altered by The Chiltern (Parish Electoral Arrangements and Electoral Changes) Order 2007</t>
  </si>
  <si>
    <t>SOUTH BUCKS DISTRICT  *</t>
  </si>
  <si>
    <t>Beaconsfield North</t>
  </si>
  <si>
    <t>E05010568</t>
  </si>
  <si>
    <t>Beaconsfield South</t>
  </si>
  <si>
    <t>E05010569</t>
  </si>
  <si>
    <t>Beaconsfield West</t>
  </si>
  <si>
    <t>E05010570</t>
  </si>
  <si>
    <t>Burnham Church &amp; Beeches</t>
  </si>
  <si>
    <t>E05010571</t>
  </si>
  <si>
    <t>Burnham Lent Rise &amp; Taplow</t>
  </si>
  <si>
    <t>E05010572</t>
  </si>
  <si>
    <t>Denham</t>
  </si>
  <si>
    <t>E05010573</t>
  </si>
  <si>
    <t>Farnham &amp; Hedgerley</t>
  </si>
  <si>
    <t>E05010574</t>
  </si>
  <si>
    <t>Gerrards Cross</t>
  </si>
  <si>
    <t>E05010575</t>
  </si>
  <si>
    <t>Iver Heath</t>
  </si>
  <si>
    <t>E05010576</t>
  </si>
  <si>
    <t>Iver Village &amp; Richings Park</t>
  </si>
  <si>
    <t>E05010577</t>
  </si>
  <si>
    <t>Stoke Poges</t>
  </si>
  <si>
    <t>E05010578</t>
  </si>
  <si>
    <t>Wexham &amp; Fulmer</t>
  </si>
  <si>
    <t>E05010579</t>
  </si>
  <si>
    <t>Beaconsfield CC (pt)</t>
  </si>
  <si>
    <t>* as created by The South Bucks (Electoral Changes) Order 2015</t>
  </si>
  <si>
    <t>WYCOMBE DISTRICT  *</t>
  </si>
  <si>
    <t>E05002674</t>
  </si>
  <si>
    <t>Bledlow and Bradenham</t>
  </si>
  <si>
    <t>E05002675</t>
  </si>
  <si>
    <t>Booker and Cressex</t>
  </si>
  <si>
    <t>E05002676</t>
  </si>
  <si>
    <t>Bourne End-cum-Hedsor</t>
  </si>
  <si>
    <t>E05002677</t>
  </si>
  <si>
    <t>Bowerdean</t>
  </si>
  <si>
    <t>E05002678</t>
  </si>
  <si>
    <t>Chiltern Rise</t>
  </si>
  <si>
    <t>E05002679</t>
  </si>
  <si>
    <t>Disraeli</t>
  </si>
  <si>
    <t>E05002680</t>
  </si>
  <si>
    <t>Downley and Plomer Hill</t>
  </si>
  <si>
    <t>E05002681</t>
  </si>
  <si>
    <t>Flackwell Heath and Little Marlow</t>
  </si>
  <si>
    <t>E05002682</t>
  </si>
  <si>
    <t>Greater Hughenden</t>
  </si>
  <si>
    <t>E05002683</t>
  </si>
  <si>
    <t>Greater Marlow</t>
  </si>
  <si>
    <t>E05002684</t>
  </si>
  <si>
    <t>Hambleden Valley</t>
  </si>
  <si>
    <t>E05002685</t>
  </si>
  <si>
    <t>Hazlemere North</t>
  </si>
  <si>
    <t>E05002686</t>
  </si>
  <si>
    <t>Hazlemere South</t>
  </si>
  <si>
    <t>E05002687</t>
  </si>
  <si>
    <t>E05002688</t>
  </si>
  <si>
    <t>Lacey Green, Speen and the Hampdens</t>
  </si>
  <si>
    <t>E05002689</t>
  </si>
  <si>
    <t>Marlow North and West</t>
  </si>
  <si>
    <t>E05002690</t>
  </si>
  <si>
    <t>Marlow South East</t>
  </si>
  <si>
    <t>E05002691</t>
  </si>
  <si>
    <t>Micklefield</t>
  </si>
  <si>
    <t>E05002692</t>
  </si>
  <si>
    <t>Oakridge and Castlefield</t>
  </si>
  <si>
    <t>E05002693</t>
  </si>
  <si>
    <t>Ryemead</t>
  </si>
  <si>
    <t>E05002694</t>
  </si>
  <si>
    <t>Sands</t>
  </si>
  <si>
    <t>E05002695</t>
  </si>
  <si>
    <t>Stokenchurch and Radnage</t>
  </si>
  <si>
    <t>E05002696</t>
  </si>
  <si>
    <t>Terriers and Amersham Hill</t>
  </si>
  <si>
    <t>E05002697</t>
  </si>
  <si>
    <t>E05002698</t>
  </si>
  <si>
    <t>The Risboroughs</t>
  </si>
  <si>
    <t>E05002699</t>
  </si>
  <si>
    <t>The Wooburns</t>
  </si>
  <si>
    <t>E05002700</t>
  </si>
  <si>
    <t>Tylers Green and Loudwater</t>
  </si>
  <si>
    <t>E05002701</t>
  </si>
  <si>
    <t>Chesham and Amersham CC (pt)</t>
  </si>
  <si>
    <t>* as created by The District of Wycombe (Electoral Changes) Order 2002</t>
  </si>
  <si>
    <t>EAST SUSSEX  *</t>
  </si>
  <si>
    <t>CITY OF BRIGHTON AND HOVE  *</t>
  </si>
  <si>
    <t>EASTBOURNE BOROUGH</t>
  </si>
  <si>
    <t>HASTINGS BOROUGH</t>
  </si>
  <si>
    <t>LEWES DISTRICT</t>
  </si>
  <si>
    <t>ROTHER DISTRICT</t>
  </si>
  <si>
    <t>WEALDEN DISTRICT</t>
  </si>
  <si>
    <t>Bexhill and Battle CC</t>
  </si>
  <si>
    <t>Rother (pt)</t>
  </si>
  <si>
    <t>Wealden (pt)</t>
  </si>
  <si>
    <t>Brighton Central and Hove BC</t>
  </si>
  <si>
    <t>Brighton and Hove (pt)</t>
  </si>
  <si>
    <t>Brighton East and Newhaven BC</t>
  </si>
  <si>
    <t>Lewes (pt)</t>
  </si>
  <si>
    <t>Brighton North BC</t>
  </si>
  <si>
    <t>Eastbourne BC</t>
  </si>
  <si>
    <t>Hastings and Rye CC</t>
  </si>
  <si>
    <t>Lewes and Uckfield CC</t>
  </si>
  <si>
    <t>High Weald CC</t>
  </si>
  <si>
    <t>Ashford (pt)</t>
  </si>
  <si>
    <t>Tunbridge Wells (pt)</t>
  </si>
  <si>
    <t>* as created by The East Sussex (Boroughs of Brighton and Hove) (Structural Change) Order 1995</t>
  </si>
  <si>
    <t>Brunswick and Adelaide</t>
  </si>
  <si>
    <t>E05002420</t>
  </si>
  <si>
    <t>Central Hove</t>
  </si>
  <si>
    <t>E05002421</t>
  </si>
  <si>
    <t>East Brighton</t>
  </si>
  <si>
    <t>E05002422</t>
  </si>
  <si>
    <t>Goldsmid</t>
  </si>
  <si>
    <t>E05002423</t>
  </si>
  <si>
    <t>Hangleton and Knoll</t>
  </si>
  <si>
    <t>E05002424</t>
  </si>
  <si>
    <t>Hanover and Elm Grove</t>
  </si>
  <si>
    <t>E05002425</t>
  </si>
  <si>
    <t>Hollingdean and Stanmer</t>
  </si>
  <si>
    <t>E05002426</t>
  </si>
  <si>
    <t>Moulsecoomb and Bevendean</t>
  </si>
  <si>
    <t>E05002427</t>
  </si>
  <si>
    <t>North Portslade</t>
  </si>
  <si>
    <t>E05002428</t>
  </si>
  <si>
    <t>Patcham</t>
  </si>
  <si>
    <t>E05002429</t>
  </si>
  <si>
    <t>Preston Park</t>
  </si>
  <si>
    <t>E05002430</t>
  </si>
  <si>
    <t>E05002431</t>
  </si>
  <si>
    <t>Regency</t>
  </si>
  <si>
    <t>E05002432</t>
  </si>
  <si>
    <t>Rottingdean Coastal</t>
  </si>
  <si>
    <t>E05002433</t>
  </si>
  <si>
    <t>St.Peter's and North Laine</t>
  </si>
  <si>
    <t>E05002434</t>
  </si>
  <si>
    <t>South Portslade</t>
  </si>
  <si>
    <t>E05002435</t>
  </si>
  <si>
    <t>Hove Park</t>
  </si>
  <si>
    <t>E05002436</t>
  </si>
  <si>
    <t>E05002437</t>
  </si>
  <si>
    <t>Wish</t>
  </si>
  <si>
    <t>E05002438</t>
  </si>
  <si>
    <t>Withdean</t>
  </si>
  <si>
    <t>E05002439</t>
  </si>
  <si>
    <t>Woodingdean</t>
  </si>
  <si>
    <t>E05002440</t>
  </si>
  <si>
    <t>Brighton East and Newhaven BC (pt)</t>
  </si>
  <si>
    <t>* as created by The City of Brighton and Hove (Electoral Changes) Order 2001</t>
  </si>
  <si>
    <t>EASTBOURNE BOROUGH  *</t>
  </si>
  <si>
    <t>Devonshire</t>
  </si>
  <si>
    <t>E05003920</t>
  </si>
  <si>
    <t>Hampden Park</t>
  </si>
  <si>
    <t>E05003921</t>
  </si>
  <si>
    <t>Langney</t>
  </si>
  <si>
    <t>E05003922</t>
  </si>
  <si>
    <t>Meads</t>
  </si>
  <si>
    <t>E05003923</t>
  </si>
  <si>
    <t>E05003924</t>
  </si>
  <si>
    <t>Ratton</t>
  </si>
  <si>
    <t>E05003925</t>
  </si>
  <si>
    <t>St Anthony's</t>
  </si>
  <si>
    <t>E05003926</t>
  </si>
  <si>
    <t>Sovereign</t>
  </si>
  <si>
    <t>E05003927</t>
  </si>
  <si>
    <t>Upperton</t>
  </si>
  <si>
    <t>E05003928</t>
  </si>
  <si>
    <t>Eastbourne BC (pt)</t>
  </si>
  <si>
    <t>* as created by The Borough of Eastbourne (Electoral Changes) Order 2001</t>
  </si>
  <si>
    <t>HASTINGS BOROUGH  *</t>
  </si>
  <si>
    <t>Ashdown</t>
  </si>
  <si>
    <t>E05003929</t>
  </si>
  <si>
    <t>Baird</t>
  </si>
  <si>
    <t>E05003930</t>
  </si>
  <si>
    <t>Braybrooke</t>
  </si>
  <si>
    <t>E05003931</t>
  </si>
  <si>
    <t>E05003932</t>
  </si>
  <si>
    <t>Central St Leonards</t>
  </si>
  <si>
    <t>E05003933</t>
  </si>
  <si>
    <t>Conquest</t>
  </si>
  <si>
    <t>E05003934</t>
  </si>
  <si>
    <t>Gensing</t>
  </si>
  <si>
    <t>E05003935</t>
  </si>
  <si>
    <t>Hollington</t>
  </si>
  <si>
    <t>E05003936</t>
  </si>
  <si>
    <t>Maze Hill</t>
  </si>
  <si>
    <t>E05003937</t>
  </si>
  <si>
    <t>Old Hastings</t>
  </si>
  <si>
    <t>E05003938</t>
  </si>
  <si>
    <t>Ore</t>
  </si>
  <si>
    <t>E05003939</t>
  </si>
  <si>
    <t>E05003940</t>
  </si>
  <si>
    <t>Silverhill</t>
  </si>
  <si>
    <t>E05003941</t>
  </si>
  <si>
    <t>Tressell</t>
  </si>
  <si>
    <t>E05003942</t>
  </si>
  <si>
    <t>West St Leonards</t>
  </si>
  <si>
    <t>E05003943</t>
  </si>
  <si>
    <t>Wishing Tree</t>
  </si>
  <si>
    <t>E05003944</t>
  </si>
  <si>
    <t>Hastings and Rye CC (pt)</t>
  </si>
  <si>
    <t>* as created by The Borough of Hastings (Electoral Changes) Order 2001</t>
  </si>
  <si>
    <t>LEWES DISTRICT  *</t>
  </si>
  <si>
    <t>Barcombe and Hamsey</t>
  </si>
  <si>
    <t>E05003945</t>
  </si>
  <si>
    <t>Chailey and Wivelsfield</t>
  </si>
  <si>
    <t>E05003946</t>
  </si>
  <si>
    <t>Ditchling and Westmeston</t>
  </si>
  <si>
    <t>E05003947</t>
  </si>
  <si>
    <t>East Saltdean and Telscombe Cliffs</t>
  </si>
  <si>
    <t>E05003948</t>
  </si>
  <si>
    <t>Kingston</t>
  </si>
  <si>
    <t>E05003949</t>
  </si>
  <si>
    <t>Lewes Bridge</t>
  </si>
  <si>
    <t>E05003950</t>
  </si>
  <si>
    <t>Lewes Castle</t>
  </si>
  <si>
    <t>E05003951</t>
  </si>
  <si>
    <t>Lewes Priory</t>
  </si>
  <si>
    <t>E05003952</t>
  </si>
  <si>
    <t>Newhaven Denton and Meeching</t>
  </si>
  <si>
    <t>E05003953</t>
  </si>
  <si>
    <t>Newhaven Valley</t>
  </si>
  <si>
    <t>E05003954</t>
  </si>
  <si>
    <t>Newick</t>
  </si>
  <si>
    <t>E05003955</t>
  </si>
  <si>
    <t>Ouse Valley and Ringmer</t>
  </si>
  <si>
    <t>E05003956</t>
  </si>
  <si>
    <t>Peacehaven East</t>
  </si>
  <si>
    <t>E05003957</t>
  </si>
  <si>
    <t>Peacehaven North</t>
  </si>
  <si>
    <t>E05003958</t>
  </si>
  <si>
    <t>Peacehaven West</t>
  </si>
  <si>
    <t>E05003959</t>
  </si>
  <si>
    <t>Plumpton, Streat, East Chiltington and St John (Without)</t>
  </si>
  <si>
    <t>E05003960</t>
  </si>
  <si>
    <t>Seaford Central</t>
  </si>
  <si>
    <t>E05003961</t>
  </si>
  <si>
    <t>Seaford East</t>
  </si>
  <si>
    <t>E05003962</t>
  </si>
  <si>
    <t>Seaford North</t>
  </si>
  <si>
    <t>E05003963</t>
  </si>
  <si>
    <t>Seaford South</t>
  </si>
  <si>
    <t>E05003964</t>
  </si>
  <si>
    <t>Seaford West</t>
  </si>
  <si>
    <t>E05003965</t>
  </si>
  <si>
    <t>Lewes CC (pt)</t>
  </si>
  <si>
    <t>* as created by The District of Lewes (Electoral Changes) Order 2001</t>
  </si>
  <si>
    <t>ROTHER DISTRICT  *</t>
  </si>
  <si>
    <t>Battle Town</t>
  </si>
  <si>
    <t>E05003966</t>
  </si>
  <si>
    <t>Brede Valley</t>
  </si>
  <si>
    <t>E05003967</t>
  </si>
  <si>
    <t>E05003968</t>
  </si>
  <si>
    <t>Collington</t>
  </si>
  <si>
    <t>E05003969</t>
  </si>
  <si>
    <t>Crowhurst</t>
  </si>
  <si>
    <t>E05003970</t>
  </si>
  <si>
    <t>Darwell</t>
  </si>
  <si>
    <t>E05003971</t>
  </si>
  <si>
    <t>Eastern Rother</t>
  </si>
  <si>
    <t>E05003972</t>
  </si>
  <si>
    <t>Ewhurst and Sedlescombe</t>
  </si>
  <si>
    <t>E05003973</t>
  </si>
  <si>
    <t>Kewhurst</t>
  </si>
  <si>
    <t>E05003974</t>
  </si>
  <si>
    <t>Marsham</t>
  </si>
  <si>
    <t>E05003975</t>
  </si>
  <si>
    <t>E05003976</t>
  </si>
  <si>
    <t>Rother Levels</t>
  </si>
  <si>
    <t>E05003977</t>
  </si>
  <si>
    <t>Rye</t>
  </si>
  <si>
    <t>E05003978</t>
  </si>
  <si>
    <t>Sackville</t>
  </si>
  <si>
    <t>E05003979</t>
  </si>
  <si>
    <t>St Marks</t>
  </si>
  <si>
    <t>E05003980</t>
  </si>
  <si>
    <t>E05003981</t>
  </si>
  <si>
    <t>St Stephens</t>
  </si>
  <si>
    <t>E05003982</t>
  </si>
  <si>
    <t>Salehurst</t>
  </si>
  <si>
    <t>E05003983</t>
  </si>
  <si>
    <t>Sidley</t>
  </si>
  <si>
    <t>E05003984</t>
  </si>
  <si>
    <t>Ticehurst and Etchingham</t>
  </si>
  <si>
    <t>E05003985</t>
  </si>
  <si>
    <t>Bexhill and Battle CC (pt)</t>
  </si>
  <si>
    <t>High Weald CC (pt)</t>
  </si>
  <si>
    <t>* as created by The District of Rother (Electoral Changes) Order 2001</t>
  </si>
  <si>
    <t>WEALDEN DISTRICT  *</t>
  </si>
  <si>
    <t>Alfriston</t>
  </si>
  <si>
    <t>E05003986</t>
  </si>
  <si>
    <t>Buxted and Maresfield</t>
  </si>
  <si>
    <t>E05003987</t>
  </si>
  <si>
    <t>Chiddingly and East Hoathly</t>
  </si>
  <si>
    <t>E05003988</t>
  </si>
  <si>
    <t>Cross in Hand/Five Ashes</t>
  </si>
  <si>
    <t>E05003989</t>
  </si>
  <si>
    <t>Crowborough East</t>
  </si>
  <si>
    <t>E05003990</t>
  </si>
  <si>
    <t>Crowborough Jarvis Brook</t>
  </si>
  <si>
    <t>E05003991</t>
  </si>
  <si>
    <t>Crowborough North</t>
  </si>
  <si>
    <t>E05003992</t>
  </si>
  <si>
    <t>Crowborough St.Johns</t>
  </si>
  <si>
    <t>E05003993</t>
  </si>
  <si>
    <t>Crowborough West</t>
  </si>
  <si>
    <t>E05003994</t>
  </si>
  <si>
    <t>Danehill/Fletching/Nutley</t>
  </si>
  <si>
    <t>E05003995</t>
  </si>
  <si>
    <t>East Dean</t>
  </si>
  <si>
    <t>E05003996</t>
  </si>
  <si>
    <t>Forest Row</t>
  </si>
  <si>
    <t>E05003997</t>
  </si>
  <si>
    <t>Framfield</t>
  </si>
  <si>
    <t>E05003998</t>
  </si>
  <si>
    <t>Frant/Withyham</t>
  </si>
  <si>
    <t>E05003999</t>
  </si>
  <si>
    <t>Hailsham Central and North</t>
  </si>
  <si>
    <t>E05004000</t>
  </si>
  <si>
    <t>Hailsham East</t>
  </si>
  <si>
    <t>E05004001</t>
  </si>
  <si>
    <t>Hailsham South and West</t>
  </si>
  <si>
    <t>E05004002</t>
  </si>
  <si>
    <t>Hartfield</t>
  </si>
  <si>
    <t>E05004003</t>
  </si>
  <si>
    <t>Heathfield East</t>
  </si>
  <si>
    <t>E05004004</t>
  </si>
  <si>
    <t>Heathfield North and Central</t>
  </si>
  <si>
    <t>E05004005</t>
  </si>
  <si>
    <t>Hellingly</t>
  </si>
  <si>
    <t>E05004006</t>
  </si>
  <si>
    <t>Herstmonceux</t>
  </si>
  <si>
    <t>E05004007</t>
  </si>
  <si>
    <t>Horam</t>
  </si>
  <si>
    <t>E05004008</t>
  </si>
  <si>
    <t>E05004009</t>
  </si>
  <si>
    <t>Ninfield and Hooe with Wartling</t>
  </si>
  <si>
    <t>E05004010</t>
  </si>
  <si>
    <t>Pevensey and Westham</t>
  </si>
  <si>
    <t>E05004011</t>
  </si>
  <si>
    <t>Polegate North</t>
  </si>
  <si>
    <t>E05004012</t>
  </si>
  <si>
    <t>Polegate South</t>
  </si>
  <si>
    <t>E05004013</t>
  </si>
  <si>
    <t>Rotherfield</t>
  </si>
  <si>
    <t>E05004014</t>
  </si>
  <si>
    <t>Uckfield Central</t>
  </si>
  <si>
    <t>E05004015</t>
  </si>
  <si>
    <t>Uckfield New Town</t>
  </si>
  <si>
    <t>E05004016</t>
  </si>
  <si>
    <t>Uckfield North</t>
  </si>
  <si>
    <t>E05004017</t>
  </si>
  <si>
    <t>Uckfield Ridgewood</t>
  </si>
  <si>
    <t>E05004018</t>
  </si>
  <si>
    <t>Wadhurst</t>
  </si>
  <si>
    <t>E05004019</t>
  </si>
  <si>
    <t>Willingdon</t>
  </si>
  <si>
    <t>E05004020</t>
  </si>
  <si>
    <t>Lewes and Uckfield CC (pt)</t>
  </si>
  <si>
    <t>* as created by The District of Wealden (Electoral Changes) Order 2001 and</t>
  </si>
  <si>
    <t xml:space="preserve">   as altered by The Wealden (Parish Electoral Arrangements and Electoral Changes) Order 2007</t>
  </si>
  <si>
    <t>HAMPSHIRE  *</t>
  </si>
  <si>
    <t>CITY OF PORTSMOUTH  *</t>
  </si>
  <si>
    <t>CITY OF SOUTHAMPTON  *</t>
  </si>
  <si>
    <t>BASINGSTOKE AND DEANE BOROUGH</t>
  </si>
  <si>
    <t>EAST HAMPSHIRE DISTRICT</t>
  </si>
  <si>
    <t>EASTLEIGH BOROUGH</t>
  </si>
  <si>
    <t>FAREHAM BOROUGH</t>
  </si>
  <si>
    <t>GOSPORT BOROUGH</t>
  </si>
  <si>
    <t>HART DISTRICT</t>
  </si>
  <si>
    <t>HAVANT BOROUGH</t>
  </si>
  <si>
    <t>NEW FOREST DISTRICT</t>
  </si>
  <si>
    <t>RUSHMOOR BOROUGH</t>
  </si>
  <si>
    <t>TEST VALLEY BOROUGH</t>
  </si>
  <si>
    <t>CITY OF WINCHESTER</t>
  </si>
  <si>
    <t>Aldershot BC</t>
  </si>
  <si>
    <t>Hart (pt)</t>
  </si>
  <si>
    <t>Basingstoke BC</t>
  </si>
  <si>
    <t>Basingstoke and Deane (pt)</t>
  </si>
  <si>
    <t>East Hampshire CC</t>
  </si>
  <si>
    <t>East Hampshire (pt)</t>
  </si>
  <si>
    <t>Eastleigh BC</t>
  </si>
  <si>
    <t>Eastleigh (pt)</t>
  </si>
  <si>
    <t>Fareham BC</t>
  </si>
  <si>
    <t>Fareham (pt)</t>
  </si>
  <si>
    <t>Winchester (pt)</t>
  </si>
  <si>
    <t>Gosport BC</t>
  </si>
  <si>
    <t>Havant BC</t>
  </si>
  <si>
    <t>Havant (pt)</t>
  </si>
  <si>
    <t>New Forest East CC</t>
  </si>
  <si>
    <t>New Forest (pt)</t>
  </si>
  <si>
    <t>Test Valley (pt)</t>
  </si>
  <si>
    <t>New Forest West CC</t>
  </si>
  <si>
    <t>North East Hampshire CC</t>
  </si>
  <si>
    <t>North West Hampshire CC</t>
  </si>
  <si>
    <t>Portsmouth North BC</t>
  </si>
  <si>
    <t>Portsmouth (pt)</t>
  </si>
  <si>
    <t>Portsmouth South BC</t>
  </si>
  <si>
    <t>Southampton Itchen BC</t>
  </si>
  <si>
    <t>Southampton (pt)</t>
  </si>
  <si>
    <t>Southampton Test BC</t>
  </si>
  <si>
    <t>Test Valley CC</t>
  </si>
  <si>
    <t>Winchester CC</t>
  </si>
  <si>
    <t>* as created by The Hampshire (Cities of Portsmouth and Southampton) (Structural Change) Order 1995</t>
  </si>
  <si>
    <t>Baffins</t>
  </si>
  <si>
    <t>E05002441</t>
  </si>
  <si>
    <t>Central Southsea</t>
  </si>
  <si>
    <t>E05002442</t>
  </si>
  <si>
    <t>Charles Dickens</t>
  </si>
  <si>
    <t>E05002443</t>
  </si>
  <si>
    <t>Copnor</t>
  </si>
  <si>
    <t>E05002444</t>
  </si>
  <si>
    <t>Cosham</t>
  </si>
  <si>
    <t>E05002445</t>
  </si>
  <si>
    <t>Drayton and Farlington</t>
  </si>
  <si>
    <t>E05002446</t>
  </si>
  <si>
    <t>Eastney and Craneswater</t>
  </si>
  <si>
    <t>E05002447</t>
  </si>
  <si>
    <t>Fratton</t>
  </si>
  <si>
    <t>E05002448</t>
  </si>
  <si>
    <t>Hilsea</t>
  </si>
  <si>
    <t>E05002449</t>
  </si>
  <si>
    <t>E05002450</t>
  </si>
  <si>
    <t>E05002451</t>
  </si>
  <si>
    <t>Paulsgrove</t>
  </si>
  <si>
    <t>E05002452</t>
  </si>
  <si>
    <t>St Jude</t>
  </si>
  <si>
    <t>E05002453</t>
  </si>
  <si>
    <t>E05002454</t>
  </si>
  <si>
    <t>Portsmouth North BC (pt)</t>
  </si>
  <si>
    <t>* as created by The City of Portsmouth (Electoral Changes) Order 2001</t>
  </si>
  <si>
    <t>Bargate</t>
  </si>
  <si>
    <t>E05002455</t>
  </si>
  <si>
    <t>Bassett</t>
  </si>
  <si>
    <t>E05002456</t>
  </si>
  <si>
    <t>Bevois</t>
  </si>
  <si>
    <t>E05002457</t>
  </si>
  <si>
    <t>Bitterne</t>
  </si>
  <si>
    <t>E05002458</t>
  </si>
  <si>
    <t>Bitterne Park</t>
  </si>
  <si>
    <t>E05002459</t>
  </si>
  <si>
    <t>Coxford</t>
  </si>
  <si>
    <t>E05002460</t>
  </si>
  <si>
    <t>Freemantle</t>
  </si>
  <si>
    <t>E05002461</t>
  </si>
  <si>
    <t>E05002462</t>
  </si>
  <si>
    <t>Millbrook</t>
  </si>
  <si>
    <t>E05002463</t>
  </si>
  <si>
    <t>E05002464</t>
  </si>
  <si>
    <t>Portswood</t>
  </si>
  <si>
    <t>E05002465</t>
  </si>
  <si>
    <t>E05002466</t>
  </si>
  <si>
    <t>E05002467</t>
  </si>
  <si>
    <t>Sholing</t>
  </si>
  <si>
    <t>E05002468</t>
  </si>
  <si>
    <t>Swaythling</t>
  </si>
  <si>
    <t>E05002469</t>
  </si>
  <si>
    <t>Woolston</t>
  </si>
  <si>
    <t>E05002470</t>
  </si>
  <si>
    <t>* as created by The City of Southampton (Electoral Changes) Order 2001</t>
  </si>
  <si>
    <t>BASINGSTOKE AND DEANE BOROUGH  *</t>
  </si>
  <si>
    <t>Basing</t>
  </si>
  <si>
    <t>E05004430</t>
  </si>
  <si>
    <t>Baughurst and Tadley North</t>
  </si>
  <si>
    <t>E05004431</t>
  </si>
  <si>
    <t>Bramley and Sherfield</t>
  </si>
  <si>
    <t>E05004437</t>
  </si>
  <si>
    <t>Brighton Hill North</t>
  </si>
  <si>
    <t>E05004432</t>
  </si>
  <si>
    <t>Brighton Hill South</t>
  </si>
  <si>
    <t>E05004433</t>
  </si>
  <si>
    <t>Brookvale and Kings Furlong</t>
  </si>
  <si>
    <t>E05004434</t>
  </si>
  <si>
    <t>Buckskin</t>
  </si>
  <si>
    <t>E05004435</t>
  </si>
  <si>
    <t>Burghclere, Highclere and St Mary Bourne</t>
  </si>
  <si>
    <t>E05004436</t>
  </si>
  <si>
    <t xml:space="preserve">North West Hampshire CC </t>
  </si>
  <si>
    <t>Chineham</t>
  </si>
  <si>
    <t>E05004438</t>
  </si>
  <si>
    <t>East Woodhay</t>
  </si>
  <si>
    <t>E05004439</t>
  </si>
  <si>
    <t>Eastrop</t>
  </si>
  <si>
    <t>E05004440</t>
  </si>
  <si>
    <t>E05004441</t>
  </si>
  <si>
    <t>Hatch Warren and Beggarwood</t>
  </si>
  <si>
    <t>E05004442</t>
  </si>
  <si>
    <t>Kempshott</t>
  </si>
  <si>
    <t>E05004443</t>
  </si>
  <si>
    <t>Kingsclere</t>
  </si>
  <si>
    <t>E05004444</t>
  </si>
  <si>
    <t>E05004445</t>
  </si>
  <si>
    <t>Oakley and North Waltham</t>
  </si>
  <si>
    <t>E05004446</t>
  </si>
  <si>
    <t>Overton, Laverstoke and Steventon</t>
  </si>
  <si>
    <t>E05004447</t>
  </si>
  <si>
    <t>Pamber and Silchester</t>
  </si>
  <si>
    <t>E05004448</t>
  </si>
  <si>
    <t>Popley East</t>
  </si>
  <si>
    <t>E05004449</t>
  </si>
  <si>
    <t>Popley West</t>
  </si>
  <si>
    <t>E05004450</t>
  </si>
  <si>
    <t>Rooksdown</t>
  </si>
  <si>
    <t>E05004451</t>
  </si>
  <si>
    <t>Sherborne St John</t>
  </si>
  <si>
    <t>E05004452</t>
  </si>
  <si>
    <t>South Ham</t>
  </si>
  <si>
    <t>E05004453</t>
  </si>
  <si>
    <t>Tadley Central</t>
  </si>
  <si>
    <t>E05004454</t>
  </si>
  <si>
    <t>Tadley South</t>
  </si>
  <si>
    <t>E05004455</t>
  </si>
  <si>
    <t>Upton Grey and The Candovers</t>
  </si>
  <si>
    <t>E05004456</t>
  </si>
  <si>
    <t>Whitchurch</t>
  </si>
  <si>
    <t>E05004457</t>
  </si>
  <si>
    <t>Winklebury</t>
  </si>
  <si>
    <t>E05004458</t>
  </si>
  <si>
    <t>North East Hampshire CC (pt)</t>
  </si>
  <si>
    <t>North West Hampshire CC (pt)</t>
  </si>
  <si>
    <t>* as created by The Borough of Basingstoke and Deane (Electoral Changes) Order 2008</t>
  </si>
  <si>
    <t>EAST HAMPSHIRE DISTRICT  *</t>
  </si>
  <si>
    <t>Alton Amery</t>
  </si>
  <si>
    <t>E05004459</t>
  </si>
  <si>
    <t>Alton Ashdell</t>
  </si>
  <si>
    <t>E05004460</t>
  </si>
  <si>
    <t>Alton Eastbrooke</t>
  </si>
  <si>
    <t>E05004461</t>
  </si>
  <si>
    <t>Alton Westbrooke</t>
  </si>
  <si>
    <t>E05004462</t>
  </si>
  <si>
    <t>Alton Whitedown</t>
  </si>
  <si>
    <t>E05004463</t>
  </si>
  <si>
    <t>Alton Wooteys</t>
  </si>
  <si>
    <t>E05004464</t>
  </si>
  <si>
    <t>Binsted and Bentley</t>
  </si>
  <si>
    <t>E05004465</t>
  </si>
  <si>
    <t>Bramshott and Liphook</t>
  </si>
  <si>
    <t>E05004466</t>
  </si>
  <si>
    <t>Clanfield and Finchdean</t>
  </si>
  <si>
    <t>E05004467</t>
  </si>
  <si>
    <t>Downland</t>
  </si>
  <si>
    <t>E05004468</t>
  </si>
  <si>
    <t>East Meon</t>
  </si>
  <si>
    <t>E05004469</t>
  </si>
  <si>
    <t>Four Marks and Medstead</t>
  </si>
  <si>
    <t>E05004470</t>
  </si>
  <si>
    <t>Froxfield and Steep</t>
  </si>
  <si>
    <t>E05004471</t>
  </si>
  <si>
    <t>Grayshott</t>
  </si>
  <si>
    <t>E05004472</t>
  </si>
  <si>
    <t>Headley</t>
  </si>
  <si>
    <t>E05004473</t>
  </si>
  <si>
    <t>Holybourne and Froyle</t>
  </si>
  <si>
    <t>E05004474</t>
  </si>
  <si>
    <t>Horndean Catherington and Lovedean</t>
  </si>
  <si>
    <t>E05004475</t>
  </si>
  <si>
    <t>Horndean Downs</t>
  </si>
  <si>
    <t>E05004476</t>
  </si>
  <si>
    <t>Horndean Hazleton and Blendworth</t>
  </si>
  <si>
    <t>E05004477</t>
  </si>
  <si>
    <t>Horndean Kings</t>
  </si>
  <si>
    <t>E05004478</t>
  </si>
  <si>
    <t>Horndean Murray</t>
  </si>
  <si>
    <t>E05004479</t>
  </si>
  <si>
    <t>Lindford</t>
  </si>
  <si>
    <t>E05004480</t>
  </si>
  <si>
    <t>Liss</t>
  </si>
  <si>
    <t>E05004481</t>
  </si>
  <si>
    <t>Petersfield Bell Hill</t>
  </si>
  <si>
    <t>E05004482</t>
  </si>
  <si>
    <t>Petersfield Causeway</t>
  </si>
  <si>
    <t>E05004483</t>
  </si>
  <si>
    <t>Petersfield Heath</t>
  </si>
  <si>
    <t>E05004484</t>
  </si>
  <si>
    <t>Petersfield Rother</t>
  </si>
  <si>
    <t>E05004485</t>
  </si>
  <si>
    <t>Petersfield St Marys</t>
  </si>
  <si>
    <t>E05004486</t>
  </si>
  <si>
    <t>Petersfield St Peters</t>
  </si>
  <si>
    <t>E05004487</t>
  </si>
  <si>
    <t>Ropley and Tisted</t>
  </si>
  <si>
    <t>E05004488</t>
  </si>
  <si>
    <t>Rowlands Castle</t>
  </si>
  <si>
    <t>E05004489</t>
  </si>
  <si>
    <t>Selborne</t>
  </si>
  <si>
    <t>E05004490</t>
  </si>
  <si>
    <t>The Hangers and Forest</t>
  </si>
  <si>
    <t>E05004491</t>
  </si>
  <si>
    <t>Whitehill Chase</t>
  </si>
  <si>
    <t>E05004492</t>
  </si>
  <si>
    <t>Whitehill Deadwater</t>
  </si>
  <si>
    <t>E05004493</t>
  </si>
  <si>
    <t>Whitehill Hogmoor</t>
  </si>
  <si>
    <t>E05004494</t>
  </si>
  <si>
    <t>Whitehill Pinewood</t>
  </si>
  <si>
    <t>E05004495</t>
  </si>
  <si>
    <t>Whitehill Walldown</t>
  </si>
  <si>
    <t>E05004496</t>
  </si>
  <si>
    <t>* as created by The District of East Hampshire (Electoral Changes) Order 2001</t>
  </si>
  <si>
    <t>EASTLEIGH BOROUGH  *</t>
  </si>
  <si>
    <t>Bishopstoke East</t>
  </si>
  <si>
    <t>E05004497</t>
  </si>
  <si>
    <t>Bishopstoke West</t>
  </si>
  <si>
    <t>E05004498</t>
  </si>
  <si>
    <t>Botley</t>
  </si>
  <si>
    <t>E05004499</t>
  </si>
  <si>
    <t>Bursledon and Old Netley</t>
  </si>
  <si>
    <t>E05004500</t>
  </si>
  <si>
    <t>Chandler's Ford East</t>
  </si>
  <si>
    <t>E05004501</t>
  </si>
  <si>
    <t>Chandler's Ford West</t>
  </si>
  <si>
    <t>E05004502</t>
  </si>
  <si>
    <t>Eastleigh Central</t>
  </si>
  <si>
    <t>E05004503</t>
  </si>
  <si>
    <t>Eastleigh North</t>
  </si>
  <si>
    <t>E05004504</t>
  </si>
  <si>
    <t>Eastleigh South</t>
  </si>
  <si>
    <t>E05004505</t>
  </si>
  <si>
    <t>Fair Oak and Horton Heath</t>
  </si>
  <si>
    <t>E05004506</t>
  </si>
  <si>
    <t>Hamble-le-Rice and Butlock's Heath</t>
  </si>
  <si>
    <t>E05004507</t>
  </si>
  <si>
    <t>Hedge End Grange Park</t>
  </si>
  <si>
    <t>E05004508</t>
  </si>
  <si>
    <t>Hedge End St John's</t>
  </si>
  <si>
    <t>E05004509</t>
  </si>
  <si>
    <t>Hedge End Wildern</t>
  </si>
  <si>
    <t>E05004510</t>
  </si>
  <si>
    <t>Hiltingbury East</t>
  </si>
  <si>
    <t>E05004511</t>
  </si>
  <si>
    <t>Hiltingbury West</t>
  </si>
  <si>
    <t>E05004512</t>
  </si>
  <si>
    <t>Netley Abbey</t>
  </si>
  <si>
    <t>E05004513</t>
  </si>
  <si>
    <t>West End North</t>
  </si>
  <si>
    <t>E05004514</t>
  </si>
  <si>
    <t>West End South</t>
  </si>
  <si>
    <t>E05004515</t>
  </si>
  <si>
    <t>Test Valley CC (pt)</t>
  </si>
  <si>
    <t>* as created by The Borough of Eastleigh (Parishes and Electoral Changes) Order 2001</t>
  </si>
  <si>
    <t>FAREHAM BOROUGH  *</t>
  </si>
  <si>
    <t>Fareham East</t>
  </si>
  <si>
    <t>E05004516</t>
  </si>
  <si>
    <t>Fareham North</t>
  </si>
  <si>
    <t>E05004517</t>
  </si>
  <si>
    <t>Fareham North-West</t>
  </si>
  <si>
    <t>E05004518</t>
  </si>
  <si>
    <t>Fareham South</t>
  </si>
  <si>
    <t>E05004519</t>
  </si>
  <si>
    <t>Fareham West</t>
  </si>
  <si>
    <t>E05004520</t>
  </si>
  <si>
    <t>Hill Head</t>
  </si>
  <si>
    <t>E05004521</t>
  </si>
  <si>
    <t>Locks Heath</t>
  </si>
  <si>
    <t>E05004522</t>
  </si>
  <si>
    <t>Park Gate</t>
  </si>
  <si>
    <t>E05004523</t>
  </si>
  <si>
    <t>Portchester East</t>
  </si>
  <si>
    <t>E05004524</t>
  </si>
  <si>
    <t>Portchester West</t>
  </si>
  <si>
    <t>E05004525</t>
  </si>
  <si>
    <t>Sarisbury</t>
  </si>
  <si>
    <t>E05004526</t>
  </si>
  <si>
    <t>Stubbington</t>
  </si>
  <si>
    <t>E05004527</t>
  </si>
  <si>
    <t>Titchfield</t>
  </si>
  <si>
    <t>E05004528</t>
  </si>
  <si>
    <t>Titchfield Common</t>
  </si>
  <si>
    <t>E05004529</t>
  </si>
  <si>
    <t>Warsash</t>
  </si>
  <si>
    <t>E05004530</t>
  </si>
  <si>
    <t>Fareham BC (pt)</t>
  </si>
  <si>
    <t>Gosport BC (pt)</t>
  </si>
  <si>
    <t>* as created by The Borough of Fareham (Electoral Changes) Order 2001</t>
  </si>
  <si>
    <t>GOSPORT BOROUGH  *</t>
  </si>
  <si>
    <t>Alverstoke</t>
  </si>
  <si>
    <t>E05004531</t>
  </si>
  <si>
    <t>E05004532</t>
  </si>
  <si>
    <t>Bridgemary North</t>
  </si>
  <si>
    <t>E05004533</t>
  </si>
  <si>
    <t>Bridgemary South</t>
  </si>
  <si>
    <t>E05004534</t>
  </si>
  <si>
    <t>Brockhurst</t>
  </si>
  <si>
    <t>E05004535</t>
  </si>
  <si>
    <t>E05004536</t>
  </si>
  <si>
    <t>Elson</t>
  </si>
  <si>
    <t>E05004537</t>
  </si>
  <si>
    <t>Forton</t>
  </si>
  <si>
    <t>E05004538</t>
  </si>
  <si>
    <t>E05004539</t>
  </si>
  <si>
    <t>Hardway</t>
  </si>
  <si>
    <t>E05004540</t>
  </si>
  <si>
    <t>Lee East</t>
  </si>
  <si>
    <t>E05004541</t>
  </si>
  <si>
    <t>Lee West</t>
  </si>
  <si>
    <t>E05004542</t>
  </si>
  <si>
    <t>Leesland</t>
  </si>
  <si>
    <t>E05004543</t>
  </si>
  <si>
    <t>Peel Common</t>
  </si>
  <si>
    <t>E05004544</t>
  </si>
  <si>
    <t>Privett</t>
  </si>
  <si>
    <t>E05004545</t>
  </si>
  <si>
    <t>Rowner and Holbrook</t>
  </si>
  <si>
    <t>E05004546</t>
  </si>
  <si>
    <t>E05004547</t>
  </si>
  <si>
    <t>* as created by The Borough of Gosport (Electoral Changes) Order 2001</t>
  </si>
  <si>
    <t>HART DISTRICT  *</t>
  </si>
  <si>
    <t>Blackwater and Hawley</t>
  </si>
  <si>
    <t>E05009352</t>
  </si>
  <si>
    <t>Crookham East</t>
  </si>
  <si>
    <t>E05009353</t>
  </si>
  <si>
    <t>Crookham West and Ewshot</t>
  </si>
  <si>
    <t>E05009354</t>
  </si>
  <si>
    <t>Fleet Central</t>
  </si>
  <si>
    <t>E05009355</t>
  </si>
  <si>
    <t>Fleet East</t>
  </si>
  <si>
    <t>E05009356</t>
  </si>
  <si>
    <t>Fleet West</t>
  </si>
  <si>
    <t>E05009357</t>
  </si>
  <si>
    <t>Hartley Wintney</t>
  </si>
  <si>
    <t>E05009358</t>
  </si>
  <si>
    <t>Hook</t>
  </si>
  <si>
    <t>E05009359</t>
  </si>
  <si>
    <t>Odiham</t>
  </si>
  <si>
    <t>E05009360</t>
  </si>
  <si>
    <t>Yateley East</t>
  </si>
  <si>
    <t>E05009361</t>
  </si>
  <si>
    <t>Yateley West</t>
  </si>
  <si>
    <t>E05009362</t>
  </si>
  <si>
    <t>Aldershot BC (pt)</t>
  </si>
  <si>
    <t>* as created by The Hart (Electoral Changes) Order 2014</t>
  </si>
  <si>
    <t>HAVANT BOROUGH  *</t>
  </si>
  <si>
    <t>Barncroft</t>
  </si>
  <si>
    <t>E05004566</t>
  </si>
  <si>
    <t>Battins</t>
  </si>
  <si>
    <t>E05004567</t>
  </si>
  <si>
    <t>Bedhampton</t>
  </si>
  <si>
    <t>E05004568</t>
  </si>
  <si>
    <t>Bondfields</t>
  </si>
  <si>
    <t>E05004569</t>
  </si>
  <si>
    <t>Cowplain</t>
  </si>
  <si>
    <t>E05004570</t>
  </si>
  <si>
    <t>Emsworth</t>
  </si>
  <si>
    <t>E05004571</t>
  </si>
  <si>
    <t>Hart Plain</t>
  </si>
  <si>
    <t>E05004572</t>
  </si>
  <si>
    <t>Hayling East</t>
  </si>
  <si>
    <t>E05004573</t>
  </si>
  <si>
    <t>Hayling West</t>
  </si>
  <si>
    <t>E05004574</t>
  </si>
  <si>
    <t>Purbrook</t>
  </si>
  <si>
    <t>E05004575</t>
  </si>
  <si>
    <t>St Faith's</t>
  </si>
  <si>
    <t>E05004576</t>
  </si>
  <si>
    <t>Stakes</t>
  </si>
  <si>
    <t>E05004577</t>
  </si>
  <si>
    <t>Warren Park</t>
  </si>
  <si>
    <t>E05004578</t>
  </si>
  <si>
    <t>E05004579</t>
  </si>
  <si>
    <t>* as created by The Borough of Havant (Electoral Changes) Order 2001</t>
  </si>
  <si>
    <t>NEW FOREST DISTRICT  *</t>
  </si>
  <si>
    <t>Ashurst, Copythorne South and Netley Marsh</t>
  </si>
  <si>
    <t>E05004580</t>
  </si>
  <si>
    <t>E05004581</t>
  </si>
  <si>
    <t>Bashley</t>
  </si>
  <si>
    <t>E05004582</t>
  </si>
  <si>
    <t>Becton</t>
  </si>
  <si>
    <t>E05004583</t>
  </si>
  <si>
    <t>Boldre and Sway</t>
  </si>
  <si>
    <t>E05004584</t>
  </si>
  <si>
    <t>Bramshaw, Copythorne North and Minstead</t>
  </si>
  <si>
    <t>E05004585</t>
  </si>
  <si>
    <t>Bransgore and Burley</t>
  </si>
  <si>
    <t>E05004586</t>
  </si>
  <si>
    <t>Brockenhurst and Forest South East</t>
  </si>
  <si>
    <t>E05004587</t>
  </si>
  <si>
    <t>Buckland</t>
  </si>
  <si>
    <t>E05004588</t>
  </si>
  <si>
    <t>Butts Ash and Dibden Purlieu</t>
  </si>
  <si>
    <t>E05004589</t>
  </si>
  <si>
    <t>Dibden and Hythe East</t>
  </si>
  <si>
    <t>E05004590</t>
  </si>
  <si>
    <t>Downlands and Forest</t>
  </si>
  <si>
    <t>E05008932</t>
  </si>
  <si>
    <t>Fawley, Blackfield and Langley</t>
  </si>
  <si>
    <t>E05004592</t>
  </si>
  <si>
    <t>Fernhill</t>
  </si>
  <si>
    <t>E05004593</t>
  </si>
  <si>
    <t>Fordingbridge</t>
  </si>
  <si>
    <t>E05008933</t>
  </si>
  <si>
    <t>Forest North West</t>
  </si>
  <si>
    <t>E05008934</t>
  </si>
  <si>
    <t>Furzedown and Hardley</t>
  </si>
  <si>
    <t>E05004596</t>
  </si>
  <si>
    <t>Holbury and North Blackfield</t>
  </si>
  <si>
    <t>E05004597</t>
  </si>
  <si>
    <t>Hordle</t>
  </si>
  <si>
    <t>E05004598</t>
  </si>
  <si>
    <t>Hythe West and Langdown</t>
  </si>
  <si>
    <t>E05004599</t>
  </si>
  <si>
    <t>Lymington Town</t>
  </si>
  <si>
    <t>E05004600</t>
  </si>
  <si>
    <t>Lyndhurst</t>
  </si>
  <si>
    <t>E05004601</t>
  </si>
  <si>
    <t>Marchwood</t>
  </si>
  <si>
    <t>E05004602</t>
  </si>
  <si>
    <t>E05004603</t>
  </si>
  <si>
    <t>E05004604</t>
  </si>
  <si>
    <t>Pennington</t>
  </si>
  <si>
    <t>E05004605</t>
  </si>
  <si>
    <t>Ringwood East and Sopley</t>
  </si>
  <si>
    <t>E05004606</t>
  </si>
  <si>
    <t>Ringwood North</t>
  </si>
  <si>
    <t>E05004607</t>
  </si>
  <si>
    <t>Ringwood South</t>
  </si>
  <si>
    <t>E05004608</t>
  </si>
  <si>
    <t>Totton Central</t>
  </si>
  <si>
    <t>E05004609</t>
  </si>
  <si>
    <t>Totton East</t>
  </si>
  <si>
    <t>E05004610</t>
  </si>
  <si>
    <t>Totton North</t>
  </si>
  <si>
    <t>E05004611</t>
  </si>
  <si>
    <t>Totton South</t>
  </si>
  <si>
    <t>E05004612</t>
  </si>
  <si>
    <t>Totton West</t>
  </si>
  <si>
    <t>E05004613</t>
  </si>
  <si>
    <t>New Forest East CC (pt)</t>
  </si>
  <si>
    <t>* as created by The District of New Forest (Parishes and Electoral Changes) Order 2001 and</t>
  </si>
  <si>
    <t xml:space="preserve">   as altered by The New Forest (Electoral Changes) Order 2011</t>
  </si>
  <si>
    <t>RUSHMOOR BOROUGH  *</t>
  </si>
  <si>
    <t>Aldershot Park</t>
  </si>
  <si>
    <t>E05008989</t>
  </si>
  <si>
    <t>Cherrywood</t>
  </si>
  <si>
    <t>E05008990</t>
  </si>
  <si>
    <t>Cove and Southwood</t>
  </si>
  <si>
    <t>E05008991</t>
  </si>
  <si>
    <t>Empress</t>
  </si>
  <si>
    <t>E05008992</t>
  </si>
  <si>
    <t>E05008993</t>
  </si>
  <si>
    <t>Knellwood</t>
  </si>
  <si>
    <t>E05008994</t>
  </si>
  <si>
    <t>E05008995</t>
  </si>
  <si>
    <t>North Town</t>
  </si>
  <si>
    <t>E05008996</t>
  </si>
  <si>
    <t>Rowhill</t>
  </si>
  <si>
    <t>E05008997</t>
  </si>
  <si>
    <t>E05008998</t>
  </si>
  <si>
    <t>E05008999</t>
  </si>
  <si>
    <t>Wellington</t>
  </si>
  <si>
    <t>E05009000</t>
  </si>
  <si>
    <t>West Heath</t>
  </si>
  <si>
    <t>E05009001</t>
  </si>
  <si>
    <t>* as created by The Rushmoor (Electoral Changes) Order 2012</t>
  </si>
  <si>
    <t>TEST VALLEY BOROUGH  *</t>
  </si>
  <si>
    <t>E05004628</t>
  </si>
  <si>
    <t>Alamein</t>
  </si>
  <si>
    <t>E05004629</t>
  </si>
  <si>
    <t>Ampfield and Braishfield</t>
  </si>
  <si>
    <t>E05004630</t>
  </si>
  <si>
    <t>Amport</t>
  </si>
  <si>
    <t>E05004631</t>
  </si>
  <si>
    <t>Anna</t>
  </si>
  <si>
    <t>E05004632</t>
  </si>
  <si>
    <t>Blackwater</t>
  </si>
  <si>
    <t>E05004633</t>
  </si>
  <si>
    <t>Bourne Valley</t>
  </si>
  <si>
    <t>E05004634</t>
  </si>
  <si>
    <t>Broughton and Stockbridge</t>
  </si>
  <si>
    <t>E05004635</t>
  </si>
  <si>
    <t>E05004636</t>
  </si>
  <si>
    <t>Chilworth, Nursling and Rownhams</t>
  </si>
  <si>
    <t>E05004637</t>
  </si>
  <si>
    <t>Cupernham</t>
  </si>
  <si>
    <t>E05004638</t>
  </si>
  <si>
    <t>Dun Valley</t>
  </si>
  <si>
    <t>E05004639</t>
  </si>
  <si>
    <t>E05004640</t>
  </si>
  <si>
    <t>Harroway</t>
  </si>
  <si>
    <t>E05004641</t>
  </si>
  <si>
    <t>Kings Somborne and Michelmersh</t>
  </si>
  <si>
    <t>E05004642</t>
  </si>
  <si>
    <t>Millway</t>
  </si>
  <si>
    <t>E05004643</t>
  </si>
  <si>
    <t>North Baddesley</t>
  </si>
  <si>
    <t>E05004644</t>
  </si>
  <si>
    <t>Over Wallop</t>
  </si>
  <si>
    <t>E05004645</t>
  </si>
  <si>
    <t>Penton Bellinger</t>
  </si>
  <si>
    <t>E05004646</t>
  </si>
  <si>
    <t>Romsey Extra</t>
  </si>
  <si>
    <t>E05004647</t>
  </si>
  <si>
    <t>E05004648</t>
  </si>
  <si>
    <t>Tadburn</t>
  </si>
  <si>
    <t>E05004649</t>
  </si>
  <si>
    <t>Valley Park</t>
  </si>
  <si>
    <t>E05004650</t>
  </si>
  <si>
    <t>E05004651</t>
  </si>
  <si>
    <t>* as created by The Borough of Test Valley (Electoral Changes) Order 2001</t>
  </si>
  <si>
    <t>CITY OF WINCHESTER  *</t>
  </si>
  <si>
    <t>Bishops Waltham</t>
  </si>
  <si>
    <t>E05004652</t>
  </si>
  <si>
    <t>Boarhunt and Southwick</t>
  </si>
  <si>
    <t>E05004653</t>
  </si>
  <si>
    <t>Cheriton and Bishops Sutton</t>
  </si>
  <si>
    <t>E05004654</t>
  </si>
  <si>
    <t>Colden Common and Twyford</t>
  </si>
  <si>
    <t>E05004655</t>
  </si>
  <si>
    <t>Compton and Otterbourne</t>
  </si>
  <si>
    <t>E05004656</t>
  </si>
  <si>
    <t>Denmead</t>
  </si>
  <si>
    <t>E05004657</t>
  </si>
  <si>
    <t>Droxford, Soberton and Hambledon</t>
  </si>
  <si>
    <t>E05004658</t>
  </si>
  <si>
    <t>Itchen Valley</t>
  </si>
  <si>
    <t>E05004659</t>
  </si>
  <si>
    <t>Kings Worthy</t>
  </si>
  <si>
    <t>E05004660</t>
  </si>
  <si>
    <t>Littleton and Harestock</t>
  </si>
  <si>
    <t>E05004661</t>
  </si>
  <si>
    <t>Olivers Battery and Badger Farm</t>
  </si>
  <si>
    <t>E05004662</t>
  </si>
  <si>
    <t>Owslebury and Curdridge</t>
  </si>
  <si>
    <t>E05004663</t>
  </si>
  <si>
    <t>St Barnabas</t>
  </si>
  <si>
    <t>E05004664</t>
  </si>
  <si>
    <t>St Bartholomew</t>
  </si>
  <si>
    <t>E05004665</t>
  </si>
  <si>
    <t>St John and All Saints</t>
  </si>
  <si>
    <t>E05004666</t>
  </si>
  <si>
    <t>St Luke</t>
  </si>
  <si>
    <t>E05004667</t>
  </si>
  <si>
    <t>St Michael</t>
  </si>
  <si>
    <t>E05004668</t>
  </si>
  <si>
    <t>St Paul</t>
  </si>
  <si>
    <t>E05004669</t>
  </si>
  <si>
    <t>Shedfield</t>
  </si>
  <si>
    <t>E05004670</t>
  </si>
  <si>
    <t>Sparsholt</t>
  </si>
  <si>
    <t>E05004671</t>
  </si>
  <si>
    <t>Swanmore and Newtown</t>
  </si>
  <si>
    <t>E05004672</t>
  </si>
  <si>
    <t>The Alresfords</t>
  </si>
  <si>
    <t>E05004673</t>
  </si>
  <si>
    <t>Upper Meon Valley</t>
  </si>
  <si>
    <t>E05004674</t>
  </si>
  <si>
    <t>Whiteley</t>
  </si>
  <si>
    <t>E05004675</t>
  </si>
  <si>
    <t>Fareham CC</t>
  </si>
  <si>
    <t>Wickham</t>
  </si>
  <si>
    <t>E05004676</t>
  </si>
  <si>
    <t>Wonston and Micheldever</t>
  </si>
  <si>
    <t>E05004677</t>
  </si>
  <si>
    <t>* as created by The City of Winchester (Electoral Changes) Order 2001</t>
  </si>
  <si>
    <t>ISLE OF WIGHT  *</t>
  </si>
  <si>
    <t>Isle of Wight East CC</t>
  </si>
  <si>
    <t>Isle of Wight (pt)</t>
  </si>
  <si>
    <t>Isle of Wight West CC</t>
  </si>
  <si>
    <t>Arreton and Newchurch</t>
  </si>
  <si>
    <t>E05008479</t>
  </si>
  <si>
    <t>Binstead and Fishbourne</t>
  </si>
  <si>
    <t>E05008480</t>
  </si>
  <si>
    <t>Brading, St Helens and Bembridge</t>
  </si>
  <si>
    <t>E05008481</t>
  </si>
  <si>
    <t>Carisbrooke</t>
  </si>
  <si>
    <t>E05008482</t>
  </si>
  <si>
    <t>Central Wight</t>
  </si>
  <si>
    <t>E05008483</t>
  </si>
  <si>
    <t>Chale, Niton and Whitwell</t>
  </si>
  <si>
    <t>E05008484</t>
  </si>
  <si>
    <t>Cowes Medina</t>
  </si>
  <si>
    <t>E05008485</t>
  </si>
  <si>
    <t>Cowes North</t>
  </si>
  <si>
    <t>E05008486</t>
  </si>
  <si>
    <t>Cowes South and Northwood</t>
  </si>
  <si>
    <t>E05008487</t>
  </si>
  <si>
    <t>Cowes West and Gurnard</t>
  </si>
  <si>
    <t>E05008488</t>
  </si>
  <si>
    <t>East Cowes</t>
  </si>
  <si>
    <t>E05008489</t>
  </si>
  <si>
    <t>Freshwater North</t>
  </si>
  <si>
    <t>E05008490</t>
  </si>
  <si>
    <t>Freshwater South</t>
  </si>
  <si>
    <t>E05008491</t>
  </si>
  <si>
    <t>Godshill and Wroxall</t>
  </si>
  <si>
    <t>E05008492</t>
  </si>
  <si>
    <t>Havenstreet, Ashey and Haylands</t>
  </si>
  <si>
    <t>E05008493</t>
  </si>
  <si>
    <t>Lake North</t>
  </si>
  <si>
    <t>E05008494</t>
  </si>
  <si>
    <t>Lake South</t>
  </si>
  <si>
    <t>E05008495</t>
  </si>
  <si>
    <t>Nettlestone and Seaview</t>
  </si>
  <si>
    <t>E05008496</t>
  </si>
  <si>
    <t>Newport Central</t>
  </si>
  <si>
    <t>E05008497</t>
  </si>
  <si>
    <t>Newport East</t>
  </si>
  <si>
    <t>E05008498</t>
  </si>
  <si>
    <t>Newport North</t>
  </si>
  <si>
    <t>E05008499</t>
  </si>
  <si>
    <t>Newport South</t>
  </si>
  <si>
    <t>E05008500</t>
  </si>
  <si>
    <t>Newport West</t>
  </si>
  <si>
    <t>E05008501</t>
  </si>
  <si>
    <t>Parkhurst</t>
  </si>
  <si>
    <t>E05008502</t>
  </si>
  <si>
    <t>Ryde East</t>
  </si>
  <si>
    <t>E05008503</t>
  </si>
  <si>
    <t>Ryde North East</t>
  </si>
  <si>
    <t>E05008504</t>
  </si>
  <si>
    <t>Ryde North West</t>
  </si>
  <si>
    <t>E05008505</t>
  </si>
  <si>
    <t>Ryde South</t>
  </si>
  <si>
    <t>E05008506</t>
  </si>
  <si>
    <t>Ryde West</t>
  </si>
  <si>
    <t>E05008507</t>
  </si>
  <si>
    <t>Sandown North</t>
  </si>
  <si>
    <t>E05008508</t>
  </si>
  <si>
    <t>Sandown South</t>
  </si>
  <si>
    <t>E05008509</t>
  </si>
  <si>
    <t>Shanklin Central</t>
  </si>
  <si>
    <t>E05008510</t>
  </si>
  <si>
    <t>Shanklin South</t>
  </si>
  <si>
    <t>E05008511</t>
  </si>
  <si>
    <t>Totland</t>
  </si>
  <si>
    <t>E05008512</t>
  </si>
  <si>
    <t>Ventnor East</t>
  </si>
  <si>
    <t>E05008513</t>
  </si>
  <si>
    <t>Ventnor West</t>
  </si>
  <si>
    <t>E05008514</t>
  </si>
  <si>
    <t>West Wight</t>
  </si>
  <si>
    <t>E05008515</t>
  </si>
  <si>
    <t>Whippingham and Osborne</t>
  </si>
  <si>
    <t>E05008516</t>
  </si>
  <si>
    <t>Wootton Bridge</t>
  </si>
  <si>
    <t>E05008517</t>
  </si>
  <si>
    <t>* as created by The Isle of Wight (Electoral Changes) Order 2008</t>
  </si>
  <si>
    <t>KENT  *</t>
  </si>
  <si>
    <t>MEDWAY BOROUGH  *</t>
  </si>
  <si>
    <t>ASHFORD BOROUGH</t>
  </si>
  <si>
    <t>CITY OF CANTERBURY</t>
  </si>
  <si>
    <t>DARTFORD BOROUGH</t>
  </si>
  <si>
    <t>DOVER DISTRICT</t>
  </si>
  <si>
    <t>GRAVESHAM BOROUGH</t>
  </si>
  <si>
    <t>MAIDSTONE BOROUGH</t>
  </si>
  <si>
    <t>SEVENOAKS DISTRICT</t>
  </si>
  <si>
    <t>SHEPWAY DISTRICT</t>
  </si>
  <si>
    <t>SWALE BOROUGH</t>
  </si>
  <si>
    <t>THANET DISTRICT</t>
  </si>
  <si>
    <t>TONBRIDGE AND MALLING BOROUGH</t>
  </si>
  <si>
    <t>TUNBRIDGE WELLS BOROUGH</t>
  </si>
  <si>
    <t>Ashford CC</t>
  </si>
  <si>
    <t>Canterbury and Faversham CC</t>
  </si>
  <si>
    <t>Canterbury (pt)</t>
  </si>
  <si>
    <t>Dover (pt)</t>
  </si>
  <si>
    <t>Swale (pt)</t>
  </si>
  <si>
    <t>Chatham and The Mallings CC</t>
  </si>
  <si>
    <t>Medway (pt)</t>
  </si>
  <si>
    <t>Tonbridge and Malling (pt)</t>
  </si>
  <si>
    <t>Dartford CC</t>
  </si>
  <si>
    <t>Dover CC</t>
  </si>
  <si>
    <t>Folkestone and Hythe CC</t>
  </si>
  <si>
    <t>Gillingham and Rainham BC</t>
  </si>
  <si>
    <t>Gravesham CC</t>
  </si>
  <si>
    <t>Gravesham (pt)</t>
  </si>
  <si>
    <t>Sevenoaks (pt)</t>
  </si>
  <si>
    <t>North Kent Coastal CC</t>
  </si>
  <si>
    <t>Thanet (pt)</t>
  </si>
  <si>
    <t>Maidstone CC</t>
  </si>
  <si>
    <t>Maidstone (pt)</t>
  </si>
  <si>
    <t>Rochester and Strood CC</t>
  </si>
  <si>
    <t>Sevenoaks CC</t>
  </si>
  <si>
    <t>Sittingbourne and Sheppey CC</t>
  </si>
  <si>
    <t>Thanet East BC</t>
  </si>
  <si>
    <t>Tonbridge and The Weald CC</t>
  </si>
  <si>
    <t>Tunbridge Wells CC</t>
  </si>
  <si>
    <t>* as created by The Kent (Borough of Gillingham and City of Rochester upon Medway) (Structural Change) Order 1996</t>
  </si>
  <si>
    <t>Chatham Central</t>
  </si>
  <si>
    <t>E05002249</t>
  </si>
  <si>
    <t>Cuxton and Halling</t>
  </si>
  <si>
    <t>E05002250</t>
  </si>
  <si>
    <t>Gillingham North</t>
  </si>
  <si>
    <t>E05002251</t>
  </si>
  <si>
    <t>Gillingham South</t>
  </si>
  <si>
    <t>E05002252</t>
  </si>
  <si>
    <t>Hempstead and Wigmore</t>
  </si>
  <si>
    <t>E05002253</t>
  </si>
  <si>
    <t>Lordswood and Capstone</t>
  </si>
  <si>
    <t>E05002254</t>
  </si>
  <si>
    <t>Luton and Wayfield</t>
  </si>
  <si>
    <t>E05002255</t>
  </si>
  <si>
    <t>E05002256</t>
  </si>
  <si>
    <t>E05002257</t>
  </si>
  <si>
    <t>Rainham Central</t>
  </si>
  <si>
    <t>E05002258</t>
  </si>
  <si>
    <t>Rainham North</t>
  </si>
  <si>
    <t>E05002259</t>
  </si>
  <si>
    <t>Rainham South</t>
  </si>
  <si>
    <t>E05002260</t>
  </si>
  <si>
    <t>E05002261</t>
  </si>
  <si>
    <t>Rochester East</t>
  </si>
  <si>
    <t>E05002262</t>
  </si>
  <si>
    <t>Rochester South and Horsted</t>
  </si>
  <si>
    <t>E05002263</t>
  </si>
  <si>
    <t>Rochester West</t>
  </si>
  <si>
    <t>E05002264</t>
  </si>
  <si>
    <t>Strood North</t>
  </si>
  <si>
    <t>E05002265</t>
  </si>
  <si>
    <t>Strood Rural</t>
  </si>
  <si>
    <t>E05002266</t>
  </si>
  <si>
    <t>Strood South</t>
  </si>
  <si>
    <t>E05002267</t>
  </si>
  <si>
    <t>Twydall</t>
  </si>
  <si>
    <t>E05002268</t>
  </si>
  <si>
    <t>Walderslade</t>
  </si>
  <si>
    <t>E05002269</t>
  </si>
  <si>
    <t>E05002270</t>
  </si>
  <si>
    <t>Chatham and The Mallings CC (pt)</t>
  </si>
  <si>
    <t>* as created by The Borough of Medway (Electoral Changes) Order 2002</t>
  </si>
  <si>
    <t>ASHFORD BOROUGH  *</t>
  </si>
  <si>
    <t>Aylesford Green</t>
  </si>
  <si>
    <t>E05004867</t>
  </si>
  <si>
    <t>Beaver</t>
  </si>
  <si>
    <t>E05004868</t>
  </si>
  <si>
    <t>Biddenden</t>
  </si>
  <si>
    <t>E05004869</t>
  </si>
  <si>
    <t>Bockhanger</t>
  </si>
  <si>
    <t>E05004870</t>
  </si>
  <si>
    <t>Boughton Aluph and Eastwell</t>
  </si>
  <si>
    <t>E05004871</t>
  </si>
  <si>
    <t>Bybrook</t>
  </si>
  <si>
    <t>E05004872</t>
  </si>
  <si>
    <t>Charing</t>
  </si>
  <si>
    <t>E05004873</t>
  </si>
  <si>
    <t>Downs North</t>
  </si>
  <si>
    <t>E05004874</t>
  </si>
  <si>
    <t>Downs West</t>
  </si>
  <si>
    <t>E05004875</t>
  </si>
  <si>
    <t>Godinton</t>
  </si>
  <si>
    <t>E05004876</t>
  </si>
  <si>
    <t>Great Chart with Singleton North</t>
  </si>
  <si>
    <t>E05004877</t>
  </si>
  <si>
    <t>E05004878</t>
  </si>
  <si>
    <t>Isle of Oxney</t>
  </si>
  <si>
    <t>E05004879</t>
  </si>
  <si>
    <t>Kennington</t>
  </si>
  <si>
    <t>E05004880</t>
  </si>
  <si>
    <t>Little Burton Farm</t>
  </si>
  <si>
    <t>E05004881</t>
  </si>
  <si>
    <t>Norman</t>
  </si>
  <si>
    <t>E05004882</t>
  </si>
  <si>
    <t>North Willesborough</t>
  </si>
  <si>
    <t>E05004883</t>
  </si>
  <si>
    <t>Park Farm North</t>
  </si>
  <si>
    <t>E05004884</t>
  </si>
  <si>
    <t>Park Farm South</t>
  </si>
  <si>
    <t>E05004885</t>
  </si>
  <si>
    <t>Rolvenden and Tenterden West</t>
  </si>
  <si>
    <t>E05004886</t>
  </si>
  <si>
    <t>E05004887</t>
  </si>
  <si>
    <t>Saxon Shore</t>
  </si>
  <si>
    <t>E05004888</t>
  </si>
  <si>
    <t>Singleton South</t>
  </si>
  <si>
    <t>E05004889</t>
  </si>
  <si>
    <t>South Willesborough</t>
  </si>
  <si>
    <t>E05004890</t>
  </si>
  <si>
    <t>Stanhope</t>
  </si>
  <si>
    <t>E05004891</t>
  </si>
  <si>
    <t>E05004892</t>
  </si>
  <si>
    <t>Tenterden North</t>
  </si>
  <si>
    <t>E05004893</t>
  </si>
  <si>
    <t>Tenterden South</t>
  </si>
  <si>
    <t>E05004894</t>
  </si>
  <si>
    <t>E05004895</t>
  </si>
  <si>
    <t>Washford</t>
  </si>
  <si>
    <t>E05004896</t>
  </si>
  <si>
    <t>Weald Central</t>
  </si>
  <si>
    <t>E05004897</t>
  </si>
  <si>
    <t>Weald East</t>
  </si>
  <si>
    <t>E05004898</t>
  </si>
  <si>
    <t>Weald North</t>
  </si>
  <si>
    <t>E05004899</t>
  </si>
  <si>
    <t>Weald South</t>
  </si>
  <si>
    <t>E05004900</t>
  </si>
  <si>
    <t>Wye</t>
  </si>
  <si>
    <t>E05004901</t>
  </si>
  <si>
    <t>* as created by The Borough of Ashford (Electoral Changes) Order 2001</t>
  </si>
  <si>
    <t>CITY OF CANTERBURY  *</t>
  </si>
  <si>
    <t>E05010391</t>
  </si>
  <si>
    <t>Beltinge</t>
  </si>
  <si>
    <t>E05010392</t>
  </si>
  <si>
    <t>Blean Forest</t>
  </si>
  <si>
    <t>E05010393</t>
  </si>
  <si>
    <t>Chartham &amp; Stone Street</t>
  </si>
  <si>
    <t>E05010394</t>
  </si>
  <si>
    <t>Chestfield</t>
  </si>
  <si>
    <t>E05010395</t>
  </si>
  <si>
    <t>Gorrell</t>
  </si>
  <si>
    <t>E05010396</t>
  </si>
  <si>
    <t>E05010397</t>
  </si>
  <si>
    <t>Herne &amp; Broomfield</t>
  </si>
  <si>
    <t>E05010398</t>
  </si>
  <si>
    <t>Heron</t>
  </si>
  <si>
    <t>E05010399</t>
  </si>
  <si>
    <t>Little Stour &amp; Adisham</t>
  </si>
  <si>
    <t>E05010400</t>
  </si>
  <si>
    <t>Nailbourne</t>
  </si>
  <si>
    <t>E05010401</t>
  </si>
  <si>
    <t>E05010402</t>
  </si>
  <si>
    <t>Reculver</t>
  </si>
  <si>
    <t>E05010403</t>
  </si>
  <si>
    <t>Seasalter</t>
  </si>
  <si>
    <t>E05010404</t>
  </si>
  <si>
    <t>St Stephen's</t>
  </si>
  <si>
    <t>E05010405</t>
  </si>
  <si>
    <t>Sturry</t>
  </si>
  <si>
    <t>E05010406</t>
  </si>
  <si>
    <t>Swalecliffe</t>
  </si>
  <si>
    <t>E05010407</t>
  </si>
  <si>
    <t>Tankerton</t>
  </si>
  <si>
    <t>E05010408</t>
  </si>
  <si>
    <t>West Bay</t>
  </si>
  <si>
    <t>E05010409</t>
  </si>
  <si>
    <t>E05010410</t>
  </si>
  <si>
    <t>Wincheap</t>
  </si>
  <si>
    <t>E05010411</t>
  </si>
  <si>
    <t>Canterbury and Faversham CC (pt)</t>
  </si>
  <si>
    <t>North Kent Coastal CC (pt)</t>
  </si>
  <si>
    <t>* as created by The Canterbury (Electoral Changes) Order 2014</t>
  </si>
  <si>
    <t>DARTFORD BOROUGH  *</t>
  </si>
  <si>
    <t>Bean and Darenth</t>
  </si>
  <si>
    <t>E05004926</t>
  </si>
  <si>
    <t>E05004927</t>
  </si>
  <si>
    <t>E05004928</t>
  </si>
  <si>
    <t>Greenhithe</t>
  </si>
  <si>
    <t>E05004929</t>
  </si>
  <si>
    <t>E05004930</t>
  </si>
  <si>
    <t>Joyce Green</t>
  </si>
  <si>
    <t>E05004931</t>
  </si>
  <si>
    <t>Joydens Wood</t>
  </si>
  <si>
    <t>E05004932</t>
  </si>
  <si>
    <t>Littlebrook</t>
  </si>
  <si>
    <t>E05004933</t>
  </si>
  <si>
    <t>Longfield, New Barn and Southfleet</t>
  </si>
  <si>
    <t>E05004934</t>
  </si>
  <si>
    <t>E05004935</t>
  </si>
  <si>
    <t>Princes</t>
  </si>
  <si>
    <t>E05004936</t>
  </si>
  <si>
    <t>Stone</t>
  </si>
  <si>
    <t>E05004937</t>
  </si>
  <si>
    <t>Sutton-at-Hone and Hawley</t>
  </si>
  <si>
    <t>E05004938</t>
  </si>
  <si>
    <t>Swanscombe</t>
  </si>
  <si>
    <t>E05004939</t>
  </si>
  <si>
    <t>E05004940</t>
  </si>
  <si>
    <t>E05004941</t>
  </si>
  <si>
    <t>Wilmington</t>
  </si>
  <si>
    <t>E05004942</t>
  </si>
  <si>
    <t>* as created by The Borough of Dartford (Electoral Changes) Order 2001</t>
  </si>
  <si>
    <t>DOVER DISTRICT  *</t>
  </si>
  <si>
    <t>Aylesham</t>
  </si>
  <si>
    <t>E05004943</t>
  </si>
  <si>
    <t>E05004944</t>
  </si>
  <si>
    <t>Capel-le-Ferne</t>
  </si>
  <si>
    <t>E05004945</t>
  </si>
  <si>
    <t>E05004946</t>
  </si>
  <si>
    <t>Eastry</t>
  </si>
  <si>
    <t>E05004947</t>
  </si>
  <si>
    <t>Eythorne and Shepherdswell</t>
  </si>
  <si>
    <t>E05004948</t>
  </si>
  <si>
    <t>Little Stour and Ashstone</t>
  </si>
  <si>
    <t>E05004949</t>
  </si>
  <si>
    <t>Lydden and Temple Ewell</t>
  </si>
  <si>
    <t>E05004950</t>
  </si>
  <si>
    <t>Maxton, Elms Vale and Priory</t>
  </si>
  <si>
    <t>E05004951</t>
  </si>
  <si>
    <t>Middle Deal and Sholden</t>
  </si>
  <si>
    <t>E05004952</t>
  </si>
  <si>
    <t>E05004953</t>
  </si>
  <si>
    <t>North Deal</t>
  </si>
  <si>
    <t>E05004954</t>
  </si>
  <si>
    <t>Ringwould</t>
  </si>
  <si>
    <t>E05004955</t>
  </si>
  <si>
    <t>E05004956</t>
  </si>
  <si>
    <t>St Margaret's-at-Cliffe</t>
  </si>
  <si>
    <t>E05004957</t>
  </si>
  <si>
    <t>St Radigunds</t>
  </si>
  <si>
    <t>E05004958</t>
  </si>
  <si>
    <t>Sandwich</t>
  </si>
  <si>
    <t>E05004959</t>
  </si>
  <si>
    <t>E05004960</t>
  </si>
  <si>
    <t>Town and Pier</t>
  </si>
  <si>
    <t>E05004961</t>
  </si>
  <si>
    <t>Walmer</t>
  </si>
  <si>
    <t>E05004962</t>
  </si>
  <si>
    <t>E05004963</t>
  </si>
  <si>
    <t>* as created by The District of Dover (Electoral Changes) Order 2001</t>
  </si>
  <si>
    <t>GRAVESHAM BOROUGH  *</t>
  </si>
  <si>
    <t>E05004964</t>
  </si>
  <si>
    <t>Chalk</t>
  </si>
  <si>
    <t>E05004965</t>
  </si>
  <si>
    <t>E05004966</t>
  </si>
  <si>
    <t>Higham</t>
  </si>
  <si>
    <t>E05004967</t>
  </si>
  <si>
    <t>Istead Rise</t>
  </si>
  <si>
    <t>E05004968</t>
  </si>
  <si>
    <t>Meopham North</t>
  </si>
  <si>
    <t>E05004969</t>
  </si>
  <si>
    <t>Meopham South and Vigo</t>
  </si>
  <si>
    <t>E05004970</t>
  </si>
  <si>
    <t>Northfleet North</t>
  </si>
  <si>
    <t>E05004971</t>
  </si>
  <si>
    <t>Northfleet South</t>
  </si>
  <si>
    <t>E05004972</t>
  </si>
  <si>
    <t>Painters Ash</t>
  </si>
  <si>
    <t>E05004973</t>
  </si>
  <si>
    <t>Pelham</t>
  </si>
  <si>
    <t>E05004974</t>
  </si>
  <si>
    <t>E05004975</t>
  </si>
  <si>
    <t>Riverview</t>
  </si>
  <si>
    <t>E05004976</t>
  </si>
  <si>
    <t>Shorne, Cobham and Luddesdown</t>
  </si>
  <si>
    <t>E05004977</t>
  </si>
  <si>
    <t>Singlewell</t>
  </si>
  <si>
    <t>E05004978</t>
  </si>
  <si>
    <t>Westcourt</t>
  </si>
  <si>
    <t>E05004979</t>
  </si>
  <si>
    <t>Whitehill</t>
  </si>
  <si>
    <t>E05004980</t>
  </si>
  <si>
    <t>E05004981</t>
  </si>
  <si>
    <t>Gravesham CC (pt)</t>
  </si>
  <si>
    <t>Rochester and Strood CC (pt)</t>
  </si>
  <si>
    <t>* as created by The Borough of Gravesham (Electoral Changes) Order 2001</t>
  </si>
  <si>
    <t>MAIDSTONE BOROUGH  *</t>
  </si>
  <si>
    <t>Allington</t>
  </si>
  <si>
    <t>E05004982</t>
  </si>
  <si>
    <t>Barming</t>
  </si>
  <si>
    <t>E05004983</t>
  </si>
  <si>
    <t>Bearsted</t>
  </si>
  <si>
    <t>E05004984</t>
  </si>
  <si>
    <t>Boughton Monchelsea and Chart Sutton</t>
  </si>
  <si>
    <t>E05004985</t>
  </si>
  <si>
    <t>Boxley</t>
  </si>
  <si>
    <t>E05004986</t>
  </si>
  <si>
    <t>E05004987</t>
  </si>
  <si>
    <t>Coxheath and Hunton</t>
  </si>
  <si>
    <t>E05008553</t>
  </si>
  <si>
    <t>Detling and Thurnham</t>
  </si>
  <si>
    <t>E05004989</t>
  </si>
  <si>
    <t>Downswood and Otham</t>
  </si>
  <si>
    <t>E05004990</t>
  </si>
  <si>
    <t>E05004991</t>
  </si>
  <si>
    <t>Fant</t>
  </si>
  <si>
    <t>E05004992</t>
  </si>
  <si>
    <t>Harrietsham and Lenham</t>
  </si>
  <si>
    <t>E05004993</t>
  </si>
  <si>
    <t>Headcorn</t>
  </si>
  <si>
    <t>E05004994</t>
  </si>
  <si>
    <t>E05004995</t>
  </si>
  <si>
    <t>E05004996</t>
  </si>
  <si>
    <t>E05004997</t>
  </si>
  <si>
    <t>Loose</t>
  </si>
  <si>
    <t>E05008554</t>
  </si>
  <si>
    <t>Marden and Yalding</t>
  </si>
  <si>
    <t>E05004999</t>
  </si>
  <si>
    <t>E05005000</t>
  </si>
  <si>
    <t>North Downs</t>
  </si>
  <si>
    <t>E05005001</t>
  </si>
  <si>
    <t>Park Wood</t>
  </si>
  <si>
    <t>E05005002</t>
  </si>
  <si>
    <t>Shepway North</t>
  </si>
  <si>
    <t>E05005003</t>
  </si>
  <si>
    <t>Shepway South</t>
  </si>
  <si>
    <t>E05005004</t>
  </si>
  <si>
    <t>E05008555</t>
  </si>
  <si>
    <t>Staplehurst</t>
  </si>
  <si>
    <t>E05005006</t>
  </si>
  <si>
    <t>Sutton Valence and Langley</t>
  </si>
  <si>
    <t>E05005007</t>
  </si>
  <si>
    <t>Tonbridge and The Weald CC (pt)</t>
  </si>
  <si>
    <t>* as created by The Borough of Maidstone (Electoral Changes) Order 2001 and</t>
  </si>
  <si>
    <t xml:space="preserve">   as altered by The Maidstone (Electoral Changes) Order 2008</t>
  </si>
  <si>
    <t>SEVENOAKS DISTRICT  *</t>
  </si>
  <si>
    <t>Ash and New Ash Green</t>
  </si>
  <si>
    <t>E05009956</t>
  </si>
  <si>
    <t>Brasted, Chevening and Sundridge</t>
  </si>
  <si>
    <t>E05009957</t>
  </si>
  <si>
    <t>Cowden and Hever</t>
  </si>
  <si>
    <t>E05005010</t>
  </si>
  <si>
    <t>Crockenhill and Well Hill</t>
  </si>
  <si>
    <t>E05005011</t>
  </si>
  <si>
    <t>Dunton Green and Riverhead</t>
  </si>
  <si>
    <t>E05005012</t>
  </si>
  <si>
    <t>Edenbridge North and East</t>
  </si>
  <si>
    <t>E05005013</t>
  </si>
  <si>
    <t>Edenbridge South and West</t>
  </si>
  <si>
    <t>E05005014</t>
  </si>
  <si>
    <t>Eynsford</t>
  </si>
  <si>
    <t>E05009958</t>
  </si>
  <si>
    <t>Farningham, Horton Kirby and South Darenth</t>
  </si>
  <si>
    <t>E05005016</t>
  </si>
  <si>
    <t>Fawkham and West Kingsdown</t>
  </si>
  <si>
    <t>E05005017</t>
  </si>
  <si>
    <t>Halstead, Knockholt and Badgers Mount</t>
  </si>
  <si>
    <t>E05005018</t>
  </si>
  <si>
    <t>Hartley and Hodsoll Street</t>
  </si>
  <si>
    <t>E05009959</t>
  </si>
  <si>
    <t>Hextable</t>
  </si>
  <si>
    <t>E05009960</t>
  </si>
  <si>
    <t>Kemsing</t>
  </si>
  <si>
    <t>E05005021</t>
  </si>
  <si>
    <t>Leigh and Chiddingstone Causeway</t>
  </si>
  <si>
    <t>E05009961</t>
  </si>
  <si>
    <t>Otford and Shoreham</t>
  </si>
  <si>
    <t>E05009962</t>
  </si>
  <si>
    <t>Penshurst, Fordcombe and Chiddingstone</t>
  </si>
  <si>
    <t>E05009963</t>
  </si>
  <si>
    <t>Seal and Weald</t>
  </si>
  <si>
    <t>E05005025</t>
  </si>
  <si>
    <t>Sevenoaks Eastern</t>
  </si>
  <si>
    <t>E05005026</t>
  </si>
  <si>
    <t>Sevenoaks Kippington</t>
  </si>
  <si>
    <t>E05005027</t>
  </si>
  <si>
    <t>Sevenoaks Northern</t>
  </si>
  <si>
    <t>E05005028</t>
  </si>
  <si>
    <t>Sevenoaks Town and St John's</t>
  </si>
  <si>
    <t>E05005029</t>
  </si>
  <si>
    <t>Swanley Christchurch and Swanley Village</t>
  </si>
  <si>
    <t>E05009964</t>
  </si>
  <si>
    <t>Swanley St Mary's</t>
  </si>
  <si>
    <t>E05005031</t>
  </si>
  <si>
    <t>Swanley White Oak</t>
  </si>
  <si>
    <t>E05005032</t>
  </si>
  <si>
    <t>Westerham and Crockham Hill</t>
  </si>
  <si>
    <t>E05009965</t>
  </si>
  <si>
    <t>Sevenoaks CC (pt)</t>
  </si>
  <si>
    <t>Tunbridge Wells CC (pt)</t>
  </si>
  <si>
    <t>* as created by The District of Sevenoaks (Electoral Changes) Order 1999 and</t>
  </si>
  <si>
    <t xml:space="preserve">   as altered by The Sevenoaks (Electoral Changes) Order 2014</t>
  </si>
  <si>
    <t>SHEPWAY DISTRICT  *</t>
  </si>
  <si>
    <t>Broadmead</t>
  </si>
  <si>
    <t>E05010015</t>
  </si>
  <si>
    <t>Cheriton</t>
  </si>
  <si>
    <t>E05010016</t>
  </si>
  <si>
    <t>East Folkestone</t>
  </si>
  <si>
    <t>E05010017</t>
  </si>
  <si>
    <t>Folkestone Central</t>
  </si>
  <si>
    <t>E05010018</t>
  </si>
  <si>
    <t>Folkestone Harbour</t>
  </si>
  <si>
    <t>E05010019</t>
  </si>
  <si>
    <t>Hythe</t>
  </si>
  <si>
    <t>E05010020</t>
  </si>
  <si>
    <t>Hythe Rural</t>
  </si>
  <si>
    <t>E05010021</t>
  </si>
  <si>
    <t>New Romney</t>
  </si>
  <si>
    <t>E05010022</t>
  </si>
  <si>
    <t>North Downs East</t>
  </si>
  <si>
    <t>E05010023</t>
  </si>
  <si>
    <t>North Downs West</t>
  </si>
  <si>
    <t>E05010024</t>
  </si>
  <si>
    <t>Romney Marsh</t>
  </si>
  <si>
    <t>E05010025</t>
  </si>
  <si>
    <t>Sandgate &amp; West Folkestone</t>
  </si>
  <si>
    <t>E05010026</t>
  </si>
  <si>
    <t>Wallend &amp; Denge Marsh</t>
  </si>
  <si>
    <t>E05010027</t>
  </si>
  <si>
    <t>* as created by The Shepway (Electoral Changes) Order 2014</t>
  </si>
  <si>
    <t>SWALE BOROUGH  *</t>
  </si>
  <si>
    <t>E05009544</t>
  </si>
  <si>
    <t>Bobbing, Iwade and Lower Halstow</t>
  </si>
  <si>
    <t>E05009545</t>
  </si>
  <si>
    <t>Borden and Grove Park</t>
  </si>
  <si>
    <t>E05009546</t>
  </si>
  <si>
    <t>Boughton and Courtenay</t>
  </si>
  <si>
    <t>E05009547</t>
  </si>
  <si>
    <t>E05009548</t>
  </si>
  <si>
    <t>East Downs</t>
  </si>
  <si>
    <t>E05009549</t>
  </si>
  <si>
    <t>Hartlip, Newington and Upchurch</t>
  </si>
  <si>
    <t>E05009550</t>
  </si>
  <si>
    <t>Homewood</t>
  </si>
  <si>
    <t>E05009551</t>
  </si>
  <si>
    <t>Kemsley</t>
  </si>
  <si>
    <t>E05009552</t>
  </si>
  <si>
    <t>Milton Regis</t>
  </si>
  <si>
    <t>E05009553</t>
  </si>
  <si>
    <t>Minster Cliffs</t>
  </si>
  <si>
    <t>E05009554</t>
  </si>
  <si>
    <t>Murston</t>
  </si>
  <si>
    <t>E05009555</t>
  </si>
  <si>
    <t>E05009556</t>
  </si>
  <si>
    <t>Queenborough and Halfway</t>
  </si>
  <si>
    <t>E05009557</t>
  </si>
  <si>
    <t>Roman</t>
  </si>
  <si>
    <t>E05009558</t>
  </si>
  <si>
    <t>E05009559</t>
  </si>
  <si>
    <t>Sheerness</t>
  </si>
  <si>
    <t>E05009560</t>
  </si>
  <si>
    <t>Sheppey Central</t>
  </si>
  <si>
    <t>E05009561</t>
  </si>
  <si>
    <t>Sheppey East</t>
  </si>
  <si>
    <t>E05009562</t>
  </si>
  <si>
    <t>Teynham and Lynsted</t>
  </si>
  <si>
    <t>E05009563</t>
  </si>
  <si>
    <t>The Meads</t>
  </si>
  <si>
    <t>E05009564</t>
  </si>
  <si>
    <t>E05009565</t>
  </si>
  <si>
    <t>West Downs</t>
  </si>
  <si>
    <t>E05009566</t>
  </si>
  <si>
    <t>E05009567</t>
  </si>
  <si>
    <t>* as created by The Swale (Electoral Changes) Order 2014</t>
  </si>
  <si>
    <t>THANET DISTRICT  *</t>
  </si>
  <si>
    <t>Beacon Road</t>
  </si>
  <si>
    <t>E05005081</t>
  </si>
  <si>
    <t>Birchington North</t>
  </si>
  <si>
    <t>E05005082</t>
  </si>
  <si>
    <t>Birchington South</t>
  </si>
  <si>
    <t>E05005083</t>
  </si>
  <si>
    <t>Bradstowe</t>
  </si>
  <si>
    <t>E05005084</t>
  </si>
  <si>
    <t>Central Harbour</t>
  </si>
  <si>
    <t>E05005085</t>
  </si>
  <si>
    <t>Cliffsend and Pegwell</t>
  </si>
  <si>
    <t>E05005086</t>
  </si>
  <si>
    <t>Cliftonville East</t>
  </si>
  <si>
    <t>E05005087</t>
  </si>
  <si>
    <t>Cliftonville West</t>
  </si>
  <si>
    <t>E05005088</t>
  </si>
  <si>
    <t>E05005089</t>
  </si>
  <si>
    <t>Eastcliff</t>
  </si>
  <si>
    <t>E05005090</t>
  </si>
  <si>
    <t>Garlinge</t>
  </si>
  <si>
    <t>E05005091</t>
  </si>
  <si>
    <t>Kingsgate</t>
  </si>
  <si>
    <t>E05005092</t>
  </si>
  <si>
    <t>Margate Central</t>
  </si>
  <si>
    <t>E05005093</t>
  </si>
  <si>
    <t>Nethercourt</t>
  </si>
  <si>
    <t>E05005094</t>
  </si>
  <si>
    <t>E05005095</t>
  </si>
  <si>
    <t>E05005096</t>
  </si>
  <si>
    <t>E05005097</t>
  </si>
  <si>
    <t>Salmestone</t>
  </si>
  <si>
    <t>E05005098</t>
  </si>
  <si>
    <t>Sir Moses Montefiore</t>
  </si>
  <si>
    <t>E05005099</t>
  </si>
  <si>
    <t>Thanet Villages</t>
  </si>
  <si>
    <t>E05005100</t>
  </si>
  <si>
    <t>E05005101</t>
  </si>
  <si>
    <t>E05005102</t>
  </si>
  <si>
    <t>Westgate-on-Sea</t>
  </si>
  <si>
    <t>E05005103</t>
  </si>
  <si>
    <t>* as created by The District of Thanet (Electoral Changes) Order 2001</t>
  </si>
  <si>
    <t>TONBRIDGE AND MALLING BOROUGH  *</t>
  </si>
  <si>
    <t>Aylesford North and Walderslade</t>
  </si>
  <si>
    <t>E05009568</t>
  </si>
  <si>
    <t>Aylesford South</t>
  </si>
  <si>
    <t>E05009569</t>
  </si>
  <si>
    <t>Borough Green and Long Mill</t>
  </si>
  <si>
    <t>E05009570</t>
  </si>
  <si>
    <t>Burham and Wouldham</t>
  </si>
  <si>
    <t>E05009571</t>
  </si>
  <si>
    <t>Cage Green</t>
  </si>
  <si>
    <t>E05009572</t>
  </si>
  <si>
    <t>E05009573</t>
  </si>
  <si>
    <t>E05009574</t>
  </si>
  <si>
    <t>Downs and Mereworth</t>
  </si>
  <si>
    <t>E05009575</t>
  </si>
  <si>
    <t>East Malling</t>
  </si>
  <si>
    <t>E05009576</t>
  </si>
  <si>
    <t>Hadlow and East Peckham</t>
  </si>
  <si>
    <t>E05009577</t>
  </si>
  <si>
    <t>E05009578</t>
  </si>
  <si>
    <t>Hildenborough</t>
  </si>
  <si>
    <t>E05009579</t>
  </si>
  <si>
    <t>Judd</t>
  </si>
  <si>
    <t>E05009580</t>
  </si>
  <si>
    <t>Kings Hill</t>
  </si>
  <si>
    <t>E05009581</t>
  </si>
  <si>
    <t>Larkfield North</t>
  </si>
  <si>
    <t>E05009582</t>
  </si>
  <si>
    <t>Larkfield South</t>
  </si>
  <si>
    <t>E05009583</t>
  </si>
  <si>
    <t>Medway</t>
  </si>
  <si>
    <t>E05009584</t>
  </si>
  <si>
    <t>Snodland East and Ham Hill</t>
  </si>
  <si>
    <t>E05009585</t>
  </si>
  <si>
    <t>Snodland West and Holborough Lakes</t>
  </si>
  <si>
    <t>E05009586</t>
  </si>
  <si>
    <t>Trench</t>
  </si>
  <si>
    <t>E05009587</t>
  </si>
  <si>
    <t>Vauxhall</t>
  </si>
  <si>
    <t>E05009588</t>
  </si>
  <si>
    <t>Wateringbury</t>
  </si>
  <si>
    <t>E05009589</t>
  </si>
  <si>
    <t>West Malling and Leybourne</t>
  </si>
  <si>
    <t>E05009590</t>
  </si>
  <si>
    <t>Wrotham, Ightham and Stansted</t>
  </si>
  <si>
    <t>E05009591</t>
  </si>
  <si>
    <t>* as created by The Tonbridge and Malling (Electoral Changes) Order 2013</t>
  </si>
  <si>
    <t>TUNBRIDGE WELLS BOROUGH  *</t>
  </si>
  <si>
    <t>Benenden and Cranbrook</t>
  </si>
  <si>
    <t>E05005130</t>
  </si>
  <si>
    <t>Brenchley and Horsmonden</t>
  </si>
  <si>
    <t>E05005131</t>
  </si>
  <si>
    <t>Broadwater</t>
  </si>
  <si>
    <t>E05005132</t>
  </si>
  <si>
    <t>Capel</t>
  </si>
  <si>
    <t>E05005133</t>
  </si>
  <si>
    <t>Culverden</t>
  </si>
  <si>
    <t>E05005134</t>
  </si>
  <si>
    <t>Frittenden and Sissinghurst</t>
  </si>
  <si>
    <t>E05005135</t>
  </si>
  <si>
    <t>Goudhurst and Lamberhurst</t>
  </si>
  <si>
    <t>E05005136</t>
  </si>
  <si>
    <t>Hawkhurst and Sandhurst</t>
  </si>
  <si>
    <t>E05005137</t>
  </si>
  <si>
    <t>Paddock Wood East</t>
  </si>
  <si>
    <t>E05005138</t>
  </si>
  <si>
    <t>Paddock Wood West</t>
  </si>
  <si>
    <t>E05005139</t>
  </si>
  <si>
    <t>Pantiles and St Mark's</t>
  </si>
  <si>
    <t>E05005140</t>
  </si>
  <si>
    <t>E05005141</t>
  </si>
  <si>
    <t>Pembury</t>
  </si>
  <si>
    <t>E05005142</t>
  </si>
  <si>
    <t>Rusthall</t>
  </si>
  <si>
    <t>E05005143</t>
  </si>
  <si>
    <t>E05005144</t>
  </si>
  <si>
    <t>E05005145</t>
  </si>
  <si>
    <t>E05005146</t>
  </si>
  <si>
    <t>Southborough and High Brooms</t>
  </si>
  <si>
    <t>E05005147</t>
  </si>
  <si>
    <t>Southborough North</t>
  </si>
  <si>
    <t>E05005148</t>
  </si>
  <si>
    <t>Speldhurst and Bidborough</t>
  </si>
  <si>
    <t>E05005149</t>
  </si>
  <si>
    <t>* as created by The Borough of Tunbridge Wells (Electoral Changes) Order 2001</t>
  </si>
  <si>
    <t>CHERWELL DISTRICT</t>
  </si>
  <si>
    <t>CITY OF OXFORD</t>
  </si>
  <si>
    <t>SOUTH OXFORDSHIRE DISTRICT</t>
  </si>
  <si>
    <t>VALE OF WHITE HORSE DISTRICT</t>
  </si>
  <si>
    <t>WEST OXFORDSHIRE DISTRICT</t>
  </si>
  <si>
    <t>Banbury and Bicester CC</t>
  </si>
  <si>
    <t>Cherwell (pt)</t>
  </si>
  <si>
    <t>Henley and Thame CC</t>
  </si>
  <si>
    <t>South Oxfordshire (pt)</t>
  </si>
  <si>
    <t>Oxford East BC</t>
  </si>
  <si>
    <t>Oxford (pt)</t>
  </si>
  <si>
    <t>Oxford West and Abingdon CC</t>
  </si>
  <si>
    <t>Vale of White Horse (pt)</t>
  </si>
  <si>
    <t>Wantage CC</t>
  </si>
  <si>
    <t>Witney CC</t>
  </si>
  <si>
    <t>CHERWELL DISTRICT  *</t>
  </si>
  <si>
    <t>Adderbury</t>
  </si>
  <si>
    <t>E05006517</t>
  </si>
  <si>
    <t>Ambrosden and Chesterton</t>
  </si>
  <si>
    <t>E05006518</t>
  </si>
  <si>
    <t>Banbury Calthorpe</t>
  </si>
  <si>
    <t>E05006519</t>
  </si>
  <si>
    <t>Banbury Easington</t>
  </si>
  <si>
    <t>E05006520</t>
  </si>
  <si>
    <t>Banbury Grimsbury and Castle</t>
  </si>
  <si>
    <t>E05006521</t>
  </si>
  <si>
    <t>Banbury Hardwick</t>
  </si>
  <si>
    <t>E05006522</t>
  </si>
  <si>
    <t>Banbury Neithrop</t>
  </si>
  <si>
    <t>E05006523</t>
  </si>
  <si>
    <t>Banbury Ruscote</t>
  </si>
  <si>
    <t>E05006524</t>
  </si>
  <si>
    <t>Bicester East</t>
  </si>
  <si>
    <t>E05006525</t>
  </si>
  <si>
    <t>Bicester North</t>
  </si>
  <si>
    <t>E05006526</t>
  </si>
  <si>
    <t>Bicester South</t>
  </si>
  <si>
    <t>E05006527</t>
  </si>
  <si>
    <t>Bicester Town</t>
  </si>
  <si>
    <t>E05006528</t>
  </si>
  <si>
    <t>Bicester West</t>
  </si>
  <si>
    <t>E05006529</t>
  </si>
  <si>
    <t>Bloxham and Bodicote</t>
  </si>
  <si>
    <t>E05006530</t>
  </si>
  <si>
    <t>Caversfield</t>
  </si>
  <si>
    <t>E05006531</t>
  </si>
  <si>
    <t>Cropredy</t>
  </si>
  <si>
    <t>E05006532</t>
  </si>
  <si>
    <t>Deddington</t>
  </si>
  <si>
    <t>E05006533</t>
  </si>
  <si>
    <t>Fringford</t>
  </si>
  <si>
    <t>E05006534</t>
  </si>
  <si>
    <t>Hook Norton</t>
  </si>
  <si>
    <t>E05006535</t>
  </si>
  <si>
    <t>Kidlington North</t>
  </si>
  <si>
    <t>E05006536</t>
  </si>
  <si>
    <t>Kidlington South</t>
  </si>
  <si>
    <t>E05006537</t>
  </si>
  <si>
    <t>Kirtlington</t>
  </si>
  <si>
    <t>E05006538</t>
  </si>
  <si>
    <t>Launton</t>
  </si>
  <si>
    <t>E05006539</t>
  </si>
  <si>
    <t>Otmoor</t>
  </si>
  <si>
    <t>E05006540</t>
  </si>
  <si>
    <t>Sibford</t>
  </si>
  <si>
    <t>E05006541</t>
  </si>
  <si>
    <t>The Astons and Heyfords</t>
  </si>
  <si>
    <t>E05006542</t>
  </si>
  <si>
    <t>Wroxton</t>
  </si>
  <si>
    <t>E05006543</t>
  </si>
  <si>
    <t>Yarnton, Gosford and Water Eaton</t>
  </si>
  <si>
    <t>E05006544</t>
  </si>
  <si>
    <t>Henley and Thame CC (pt)</t>
  </si>
  <si>
    <t>Oxford West and Abingdon CC (pt)</t>
  </si>
  <si>
    <t>* as created by The District of Cherwell (Electoral Changes) Order 2001</t>
  </si>
  <si>
    <t>CITY OF OXFORD  *</t>
  </si>
  <si>
    <t>Barton and Sandhills</t>
  </si>
  <si>
    <t>E05006545</t>
  </si>
  <si>
    <t>Blackbird Leys</t>
  </si>
  <si>
    <t>E05006546</t>
  </si>
  <si>
    <t>Carfax</t>
  </si>
  <si>
    <t>E05006547</t>
  </si>
  <si>
    <t>E05006548</t>
  </si>
  <si>
    <t>Cowley</t>
  </si>
  <si>
    <t>E05006549</t>
  </si>
  <si>
    <t>Cowley Marsh</t>
  </si>
  <si>
    <t>E05006550</t>
  </si>
  <si>
    <t>Headington</t>
  </si>
  <si>
    <t>E05006551</t>
  </si>
  <si>
    <t>Headington Hill and Northway</t>
  </si>
  <si>
    <t>E05006552</t>
  </si>
  <si>
    <t>Hinksey Park</t>
  </si>
  <si>
    <t>E05006553</t>
  </si>
  <si>
    <t>E05006554</t>
  </si>
  <si>
    <t>Iffley Fields</t>
  </si>
  <si>
    <t>E05006555</t>
  </si>
  <si>
    <t>Jericho and Osney</t>
  </si>
  <si>
    <t>E05006556</t>
  </si>
  <si>
    <t>Littlemore</t>
  </si>
  <si>
    <t>E05006557</t>
  </si>
  <si>
    <t>Lye Valley</t>
  </si>
  <si>
    <t>E05006558</t>
  </si>
  <si>
    <t>Marston</t>
  </si>
  <si>
    <t>E05006559</t>
  </si>
  <si>
    <t>E05006560</t>
  </si>
  <si>
    <t>Northfield Brook</t>
  </si>
  <si>
    <t>E05006561</t>
  </si>
  <si>
    <t>Quarry and Risinghurst</t>
  </si>
  <si>
    <t>E05006562</t>
  </si>
  <si>
    <t>Rose Hill and Iffley</t>
  </si>
  <si>
    <t>E05006563</t>
  </si>
  <si>
    <t>E05006564</t>
  </si>
  <si>
    <t xml:space="preserve">St Margaret's </t>
  </si>
  <si>
    <t>E05006565</t>
  </si>
  <si>
    <t>E05006566</t>
  </si>
  <si>
    <t>Summertown</t>
  </si>
  <si>
    <t>E05006567</t>
  </si>
  <si>
    <t>Wolvercote</t>
  </si>
  <si>
    <t>E05006568</t>
  </si>
  <si>
    <t>* as created by The City of Oxford (Electoral Changes) Order 2001</t>
  </si>
  <si>
    <t>SOUTH OXFORDSHIRE DISTRICT  *</t>
  </si>
  <si>
    <t>Benson &amp; Crowmarsh</t>
  </si>
  <si>
    <t>E05009733</t>
  </si>
  <si>
    <t>Berinsfield</t>
  </si>
  <si>
    <t>E05009734</t>
  </si>
  <si>
    <t>Chalgrove</t>
  </si>
  <si>
    <t>E05009735</t>
  </si>
  <si>
    <t>Chinnor</t>
  </si>
  <si>
    <t>E05009736</t>
  </si>
  <si>
    <t>Cholsey</t>
  </si>
  <si>
    <t>E05009737</t>
  </si>
  <si>
    <t>Didcot North East</t>
  </si>
  <si>
    <t>E05009738</t>
  </si>
  <si>
    <t>Didcot South</t>
  </si>
  <si>
    <t>E05009739</t>
  </si>
  <si>
    <t>Didcot West</t>
  </si>
  <si>
    <t>E05009740</t>
  </si>
  <si>
    <t>Forest Hill &amp; Holton</t>
  </si>
  <si>
    <t>E05009741</t>
  </si>
  <si>
    <t>Garsington &amp; Horspath</t>
  </si>
  <si>
    <t>E05009742</t>
  </si>
  <si>
    <t>Goring</t>
  </si>
  <si>
    <t>E05009743</t>
  </si>
  <si>
    <t>Haseley Brook</t>
  </si>
  <si>
    <t>E05009744</t>
  </si>
  <si>
    <t>Henley-on-Thames</t>
  </si>
  <si>
    <t>E05009745</t>
  </si>
  <si>
    <t>Kidmore End &amp; Whitchurch</t>
  </si>
  <si>
    <t>E05009746</t>
  </si>
  <si>
    <t>Sandford &amp; the Wittenhams</t>
  </si>
  <si>
    <t>E05009747</t>
  </si>
  <si>
    <t>Sonning Common</t>
  </si>
  <si>
    <t>E05009748</t>
  </si>
  <si>
    <t>Thame</t>
  </si>
  <si>
    <t>E05009749</t>
  </si>
  <si>
    <t>Wallingford</t>
  </si>
  <si>
    <t>E05009750</t>
  </si>
  <si>
    <t>E05009751</t>
  </si>
  <si>
    <t>E05009752</t>
  </si>
  <si>
    <t>Woodcote &amp; Rotherfield</t>
  </si>
  <si>
    <t>E05009753</t>
  </si>
  <si>
    <t>Wantage CC (pt)</t>
  </si>
  <si>
    <t>* as created by The South Oxfordshire (Electoral Changes) Order 2014</t>
  </si>
  <si>
    <t>VALE OF WHITE HORSE DISTRICT  *</t>
  </si>
  <si>
    <t>Abingdon Abbey Northcourt</t>
  </si>
  <si>
    <t>E05009754</t>
  </si>
  <si>
    <t>Abingdon Caldecott</t>
  </si>
  <si>
    <t>E05009755</t>
  </si>
  <si>
    <t>Abingdon Dunmore</t>
  </si>
  <si>
    <t>E05009756</t>
  </si>
  <si>
    <t>Abingdon Fitzharris</t>
  </si>
  <si>
    <t>E05009757</t>
  </si>
  <si>
    <t>Abingdon Peachcroft</t>
  </si>
  <si>
    <t>E05009758</t>
  </si>
  <si>
    <t>Blewbury &amp; Harwell</t>
  </si>
  <si>
    <t>E05009759</t>
  </si>
  <si>
    <t>Botley &amp; Sunningwell</t>
  </si>
  <si>
    <t>E05009760</t>
  </si>
  <si>
    <t>Cumnor</t>
  </si>
  <si>
    <t>E05009761</t>
  </si>
  <si>
    <t>E05009762</t>
  </si>
  <si>
    <t>Faringdon</t>
  </si>
  <si>
    <t>E05009763</t>
  </si>
  <si>
    <t>Grove North</t>
  </si>
  <si>
    <t>E05009764</t>
  </si>
  <si>
    <t>Hendreds</t>
  </si>
  <si>
    <t>E05009765</t>
  </si>
  <si>
    <t>Kennington &amp; Radley</t>
  </si>
  <si>
    <t>E05009766</t>
  </si>
  <si>
    <t>Kingston Bagpuize</t>
  </si>
  <si>
    <t>E05009767</t>
  </si>
  <si>
    <t>Marcham</t>
  </si>
  <si>
    <t>E05009768</t>
  </si>
  <si>
    <t>E05009769</t>
  </si>
  <si>
    <t>Stanford</t>
  </si>
  <si>
    <t>E05009770</t>
  </si>
  <si>
    <t>Steventon &amp; the Hanneys</t>
  </si>
  <si>
    <t>E05009771</t>
  </si>
  <si>
    <t>Sutton Courtenay</t>
  </si>
  <si>
    <t>E05009772</t>
  </si>
  <si>
    <t>E05009773</t>
  </si>
  <si>
    <t>Wantage &amp; Grove Brook</t>
  </si>
  <si>
    <t>E05009774</t>
  </si>
  <si>
    <t>Wantage Charlton</t>
  </si>
  <si>
    <t>E05009775</t>
  </si>
  <si>
    <t>Watchfield &amp; Shrivenham</t>
  </si>
  <si>
    <t>E05009776</t>
  </si>
  <si>
    <t>E05009777</t>
  </si>
  <si>
    <t>* as created by The Vale of White Horse (Electoral Changes) Order 2014</t>
  </si>
  <si>
    <t>WEST OXFORDSHIRE DISTRICT  *</t>
  </si>
  <si>
    <t>Alvescot and Filkins</t>
  </si>
  <si>
    <t>E05006627</t>
  </si>
  <si>
    <t>Ascott and Shipton</t>
  </si>
  <si>
    <t>E05006628</t>
  </si>
  <si>
    <t>Bampton and Clanfield</t>
  </si>
  <si>
    <t>E05006629</t>
  </si>
  <si>
    <t>Brize Norton and Shilton</t>
  </si>
  <si>
    <t>E05009364</t>
  </si>
  <si>
    <t>Burford</t>
  </si>
  <si>
    <t>E05009363</t>
  </si>
  <si>
    <t>Carterton North East</t>
  </si>
  <si>
    <t>E05006632</t>
  </si>
  <si>
    <t>Carterton North West</t>
  </si>
  <si>
    <t>E05009365</t>
  </si>
  <si>
    <t>Carterton South</t>
  </si>
  <si>
    <t>E05006634</t>
  </si>
  <si>
    <t>Chadlington and Churchill</t>
  </si>
  <si>
    <t>E05006635</t>
  </si>
  <si>
    <t>Charlbury and Finstock</t>
  </si>
  <si>
    <t>E05006636</t>
  </si>
  <si>
    <t>Chipping Norton</t>
  </si>
  <si>
    <t>E05006637</t>
  </si>
  <si>
    <t>Ducklington</t>
  </si>
  <si>
    <t>E05006638</t>
  </si>
  <si>
    <t>Eynsham and Cassington</t>
  </si>
  <si>
    <t>E05006639</t>
  </si>
  <si>
    <t>Freeland and Hanborough</t>
  </si>
  <si>
    <t>E05006640</t>
  </si>
  <si>
    <t>Hailey, Minster Lovell and Leafield</t>
  </si>
  <si>
    <t>E05009366</t>
  </si>
  <si>
    <t>Kingham, Rollright and Enstone</t>
  </si>
  <si>
    <t>E05006642</t>
  </si>
  <si>
    <t>Milton-under-Wychwood</t>
  </si>
  <si>
    <t>E05006643</t>
  </si>
  <si>
    <t>North Leigh</t>
  </si>
  <si>
    <t>E05006644</t>
  </si>
  <si>
    <t>Standlake, Aston and Stanton Harcourt</t>
  </si>
  <si>
    <t>E05006645</t>
  </si>
  <si>
    <t>Stonesfield and Tackley</t>
  </si>
  <si>
    <t>E05006646</t>
  </si>
  <si>
    <t>The Bartons</t>
  </si>
  <si>
    <t>E05006647</t>
  </si>
  <si>
    <t>Witney Central</t>
  </si>
  <si>
    <t>E05006648</t>
  </si>
  <si>
    <t>Witney East</t>
  </si>
  <si>
    <t>E05006649</t>
  </si>
  <si>
    <t>Witney North</t>
  </si>
  <si>
    <t>E05006650</t>
  </si>
  <si>
    <t>Witney South</t>
  </si>
  <si>
    <t>E05006651</t>
  </si>
  <si>
    <t>Witney West</t>
  </si>
  <si>
    <t>E05006652</t>
  </si>
  <si>
    <t>Woodstock and Bladon</t>
  </si>
  <si>
    <t>E05006653</t>
  </si>
  <si>
    <t>* as created by The District of West Oxfordshire (Electoral Changes) Order 2001 and</t>
  </si>
  <si>
    <t xml:space="preserve">   as altered by The District of West Oxfordshire (Electoral Changes) Order 2012</t>
  </si>
  <si>
    <t>ELMBRIDGE BOROUGH</t>
  </si>
  <si>
    <t>EPSOM AND EWELL BOROUGH</t>
  </si>
  <si>
    <t>GUILDFORD BOROUGH</t>
  </si>
  <si>
    <t>MOLE VALLEY DISTRICT</t>
  </si>
  <si>
    <t>REIGATE AND BANSTEAD BOROUGH</t>
  </si>
  <si>
    <t>RUNNYMEDE BOROUGH</t>
  </si>
  <si>
    <t>SPELTHORNE BOROUGH</t>
  </si>
  <si>
    <t>SURREY HEATH BOROUGH</t>
  </si>
  <si>
    <t>TANDRIDGE DISTRICT</t>
  </si>
  <si>
    <t>WAVERLEY BOROUGH</t>
  </si>
  <si>
    <t>WOKING BOROUGH</t>
  </si>
  <si>
    <t>East Surrey CC</t>
  </si>
  <si>
    <t>Reigate and Banstead (pt)</t>
  </si>
  <si>
    <t>Epsom and Ewell BC</t>
  </si>
  <si>
    <t>Mole Valley (pt)</t>
  </si>
  <si>
    <t>Esher and Walton BC</t>
  </si>
  <si>
    <t>Elmbridge (pt)</t>
  </si>
  <si>
    <t>Guildford CC</t>
  </si>
  <si>
    <t>Guildford (pt)</t>
  </si>
  <si>
    <t>Waverley (pt)</t>
  </si>
  <si>
    <t>Mole Valley CC</t>
  </si>
  <si>
    <t>Reigate BC</t>
  </si>
  <si>
    <t>Runnymede and Weybridge CC</t>
  </si>
  <si>
    <t>Runnymede (pt)</t>
  </si>
  <si>
    <t>Woking (pt)</t>
  </si>
  <si>
    <t>South West Surrey CC</t>
  </si>
  <si>
    <t>Spelthorne BC</t>
  </si>
  <si>
    <t>Surrey Heath CC</t>
  </si>
  <si>
    <t>Surrey Heath (pt)</t>
  </si>
  <si>
    <t>Woking CC</t>
  </si>
  <si>
    <t>ELMBRIDGE BOROUGH  *</t>
  </si>
  <si>
    <t>Claygate</t>
  </si>
  <si>
    <t>E05007251</t>
  </si>
  <si>
    <t>Cobham and Downside</t>
  </si>
  <si>
    <t>E05007252</t>
  </si>
  <si>
    <t>Cobham Fairmile</t>
  </si>
  <si>
    <t>E05007253</t>
  </si>
  <si>
    <t>Esher</t>
  </si>
  <si>
    <t>E05007254</t>
  </si>
  <si>
    <t>Hersham North</t>
  </si>
  <si>
    <t>E05007255</t>
  </si>
  <si>
    <t>Hersham South</t>
  </si>
  <si>
    <t>E05007256</t>
  </si>
  <si>
    <t>Hinchley Wood</t>
  </si>
  <si>
    <t>E05007257</t>
  </si>
  <si>
    <t>Long Ditton</t>
  </si>
  <si>
    <t>E05007258</t>
  </si>
  <si>
    <t>Molesey East</t>
  </si>
  <si>
    <t>E05007259</t>
  </si>
  <si>
    <t>Molesey North</t>
  </si>
  <si>
    <t>E05007260</t>
  </si>
  <si>
    <t>Molesey South</t>
  </si>
  <si>
    <t>E05007261</t>
  </si>
  <si>
    <t>Oatlands Park</t>
  </si>
  <si>
    <t>E05007262</t>
  </si>
  <si>
    <t>Oxshott and Stoke D'Abernon</t>
  </si>
  <si>
    <t>E05007263</t>
  </si>
  <si>
    <t>St George's Hill</t>
  </si>
  <si>
    <t>E05007264</t>
  </si>
  <si>
    <t>Thames Ditton</t>
  </si>
  <si>
    <t>E05007265</t>
  </si>
  <si>
    <t>Walton Ambleside</t>
  </si>
  <si>
    <t>E05007266</t>
  </si>
  <si>
    <t>Walton Central</t>
  </si>
  <si>
    <t>E05007267</t>
  </si>
  <si>
    <t>Walton North</t>
  </si>
  <si>
    <t>E05007268</t>
  </si>
  <si>
    <t>Walton South</t>
  </si>
  <si>
    <t>E05007269</t>
  </si>
  <si>
    <t>Weston Green</t>
  </si>
  <si>
    <t>E05007270</t>
  </si>
  <si>
    <t>Weybridge North</t>
  </si>
  <si>
    <t>E05007271</t>
  </si>
  <si>
    <t>Weybridge South</t>
  </si>
  <si>
    <t>E05007272</t>
  </si>
  <si>
    <t>Mole Valley CC (pt)</t>
  </si>
  <si>
    <t>Runnymede and Weybridge BC (pt)</t>
  </si>
  <si>
    <t>* as created by The Borough of Elmbridge (Electoral Changes) Order 1999</t>
  </si>
  <si>
    <t>EPSOM AND EWELL BOROUGH  *</t>
  </si>
  <si>
    <t>Auriol</t>
  </si>
  <si>
    <t>E05007273</t>
  </si>
  <si>
    <t>E05007274</t>
  </si>
  <si>
    <t>Court</t>
  </si>
  <si>
    <t>E05007275</t>
  </si>
  <si>
    <t>Cuddington</t>
  </si>
  <si>
    <t>E05007276</t>
  </si>
  <si>
    <t>Ewell</t>
  </si>
  <si>
    <t>E05007277</t>
  </si>
  <si>
    <t>Ewell Court</t>
  </si>
  <si>
    <t>E05007278</t>
  </si>
  <si>
    <t>E05007279</t>
  </si>
  <si>
    <t>Ruxley</t>
  </si>
  <si>
    <t>E05007280</t>
  </si>
  <si>
    <t>Stamford</t>
  </si>
  <si>
    <t>E05007281</t>
  </si>
  <si>
    <t>Stoneleigh</t>
  </si>
  <si>
    <t>E05007282</t>
  </si>
  <si>
    <t>E05007283</t>
  </si>
  <si>
    <t>West Ewell</t>
  </si>
  <si>
    <t>E05007284</t>
  </si>
  <si>
    <t>Woodcote</t>
  </si>
  <si>
    <t>E05007285</t>
  </si>
  <si>
    <t>Epsom and Ewell BC (pt)</t>
  </si>
  <si>
    <t>* as created by The Borough of Epsom and Ewell (Electoral Changes) Order 1999</t>
  </si>
  <si>
    <t>GUILDFORD BOROUGH  *</t>
  </si>
  <si>
    <t>Ash South and Tongham</t>
  </si>
  <si>
    <t>E05007286</t>
  </si>
  <si>
    <t>Ash Vale</t>
  </si>
  <si>
    <t>E05007287</t>
  </si>
  <si>
    <t>Ash Wharf</t>
  </si>
  <si>
    <t>E05007288</t>
  </si>
  <si>
    <t>Burpham</t>
  </si>
  <si>
    <t>E05007289</t>
  </si>
  <si>
    <t>E05007290</t>
  </si>
  <si>
    <t>Clandon and Horsley</t>
  </si>
  <si>
    <t>E05007291</t>
  </si>
  <si>
    <t>Effingham</t>
  </si>
  <si>
    <t>E05007292</t>
  </si>
  <si>
    <t>Friary and St Nicolas</t>
  </si>
  <si>
    <t>E05007293</t>
  </si>
  <si>
    <t>Holy Trinity</t>
  </si>
  <si>
    <t>E05007294</t>
  </si>
  <si>
    <t>Lovelace</t>
  </si>
  <si>
    <t>E05007295</t>
  </si>
  <si>
    <t>Merrow</t>
  </si>
  <si>
    <t>E05007296</t>
  </si>
  <si>
    <t>Normandy</t>
  </si>
  <si>
    <t>E05007297</t>
  </si>
  <si>
    <t>Onslow</t>
  </si>
  <si>
    <t>E05007298</t>
  </si>
  <si>
    <t>Pilgrims</t>
  </si>
  <si>
    <t>E05007299</t>
  </si>
  <si>
    <t>Pirbright</t>
  </si>
  <si>
    <t>E05007300</t>
  </si>
  <si>
    <t>Send</t>
  </si>
  <si>
    <t>E05007301</t>
  </si>
  <si>
    <t>Shalford</t>
  </si>
  <si>
    <t>E05007302</t>
  </si>
  <si>
    <t>E05007303</t>
  </si>
  <si>
    <t>Stoughton</t>
  </si>
  <si>
    <t>E05007304</t>
  </si>
  <si>
    <t>Tillingbourne</t>
  </si>
  <si>
    <t>E05007305</t>
  </si>
  <si>
    <t>E05007306</t>
  </si>
  <si>
    <t>Worplesdon</t>
  </si>
  <si>
    <t>E05007307</t>
  </si>
  <si>
    <t>Guildford CC (pt)</t>
  </si>
  <si>
    <t>Surrey Heath CC (pt)</t>
  </si>
  <si>
    <t>Woking CC (pt)</t>
  </si>
  <si>
    <t>* as created by The Borough of Guildford (Electoral Changes) Order 1999</t>
  </si>
  <si>
    <t>MOLE VALLEY DISTRICT  *</t>
  </si>
  <si>
    <t>Ashtead Common</t>
  </si>
  <si>
    <t>E05007308</t>
  </si>
  <si>
    <t>Ashtead Park</t>
  </si>
  <si>
    <t>E05007309</t>
  </si>
  <si>
    <t>Ashtead Village</t>
  </si>
  <si>
    <t>E05007310</t>
  </si>
  <si>
    <t>Beare Green</t>
  </si>
  <si>
    <t>E05007311</t>
  </si>
  <si>
    <t>Bookham North</t>
  </si>
  <si>
    <t>E05007312</t>
  </si>
  <si>
    <t>Bookham South</t>
  </si>
  <si>
    <t>E05007313</t>
  </si>
  <si>
    <t>Box Hill and Headley</t>
  </si>
  <si>
    <t>E05007314</t>
  </si>
  <si>
    <t>Brockham, Betchworth and Buckland</t>
  </si>
  <si>
    <t>E05007315</t>
  </si>
  <si>
    <t>Capel, Leigh and Newdigate</t>
  </si>
  <si>
    <t>E05007316</t>
  </si>
  <si>
    <t>Charlwood</t>
  </si>
  <si>
    <t>E05007317</t>
  </si>
  <si>
    <t>Dorking North</t>
  </si>
  <si>
    <t>E05007318</t>
  </si>
  <si>
    <t>Dorking South</t>
  </si>
  <si>
    <t>E05007319</t>
  </si>
  <si>
    <t>Fetcham East</t>
  </si>
  <si>
    <t>E05007320</t>
  </si>
  <si>
    <t>Fetcham West</t>
  </si>
  <si>
    <t>E05007321</t>
  </si>
  <si>
    <t>Holmwoods</t>
  </si>
  <si>
    <t>E05007322</t>
  </si>
  <si>
    <t>Leatherhead North</t>
  </si>
  <si>
    <t>E05007323</t>
  </si>
  <si>
    <t>Leatherhead South</t>
  </si>
  <si>
    <t>E05007324</t>
  </si>
  <si>
    <t>Leith Hill</t>
  </si>
  <si>
    <t>E05007325</t>
  </si>
  <si>
    <t>Mickleham, Westhumble and Pixham</t>
  </si>
  <si>
    <t>E05007326</t>
  </si>
  <si>
    <t>Okewood</t>
  </si>
  <si>
    <t>E05007327</t>
  </si>
  <si>
    <t>Westcott</t>
  </si>
  <si>
    <t>E05007328</t>
  </si>
  <si>
    <t>* as created by The Mole Valley (Electoral Changes) Order 1999</t>
  </si>
  <si>
    <t>REIGATE AND BANSTEAD BOROUGH  *</t>
  </si>
  <si>
    <t>Banstead Village</t>
  </si>
  <si>
    <t>E05007329</t>
  </si>
  <si>
    <t>Chipstead, Hooley and Woodmansterne</t>
  </si>
  <si>
    <t>E05007330</t>
  </si>
  <si>
    <t>Earlswood and Whitebushes</t>
  </si>
  <si>
    <t>E05007331</t>
  </si>
  <si>
    <t>Horley Central</t>
  </si>
  <si>
    <t>E05007332</t>
  </si>
  <si>
    <t>Horley East</t>
  </si>
  <si>
    <t>E05007333</t>
  </si>
  <si>
    <t>Horley West</t>
  </si>
  <si>
    <t>E05007334</t>
  </si>
  <si>
    <t>Kingswood with Burgh Heath</t>
  </si>
  <si>
    <t>E05007335</t>
  </si>
  <si>
    <t>Meadvale and St John's</t>
  </si>
  <si>
    <t>E05007336</t>
  </si>
  <si>
    <t>Merstham</t>
  </si>
  <si>
    <t>E05007337</t>
  </si>
  <si>
    <t>Nork</t>
  </si>
  <si>
    <t>E05007338</t>
  </si>
  <si>
    <t>E05007339</t>
  </si>
  <si>
    <t>Redhill East</t>
  </si>
  <si>
    <t>E05007340</t>
  </si>
  <si>
    <t>Redhill West</t>
  </si>
  <si>
    <t>E05007341</t>
  </si>
  <si>
    <t>Reigate Central</t>
  </si>
  <si>
    <t>E05007342</t>
  </si>
  <si>
    <t>Reigate Hill</t>
  </si>
  <si>
    <t>E05007343</t>
  </si>
  <si>
    <t>Salfords and Sidlow</t>
  </si>
  <si>
    <t>E05007344</t>
  </si>
  <si>
    <t>South Park and Woodhatch</t>
  </si>
  <si>
    <t>E05007345</t>
  </si>
  <si>
    <t>Tadworth and Walton</t>
  </si>
  <si>
    <t>E05007346</t>
  </si>
  <si>
    <t>Tattenhams</t>
  </si>
  <si>
    <t>E05007347</t>
  </si>
  <si>
    <t>East Surrey CC (pt)</t>
  </si>
  <si>
    <t>* as created by The Borough of Reigate and Banstead (Electoral Changes) Order 1999</t>
  </si>
  <si>
    <t>RUNNYMEDE BOROUGH  *</t>
  </si>
  <si>
    <t>Addlestone Bourneside</t>
  </si>
  <si>
    <t>E05007348</t>
  </si>
  <si>
    <t>Addlestone North</t>
  </si>
  <si>
    <t>E05007349</t>
  </si>
  <si>
    <t>Chertsey Meads</t>
  </si>
  <si>
    <t>E05007350</t>
  </si>
  <si>
    <t>Chertsey St Ann's</t>
  </si>
  <si>
    <t>E05007351</t>
  </si>
  <si>
    <t>Chertsey South and Row Town</t>
  </si>
  <si>
    <t>E05007352</t>
  </si>
  <si>
    <t>Egham Hythe</t>
  </si>
  <si>
    <t>E05007353</t>
  </si>
  <si>
    <t>Egham Town</t>
  </si>
  <si>
    <t>E05007354</t>
  </si>
  <si>
    <t>Englefield Green East</t>
  </si>
  <si>
    <t>E05007355</t>
  </si>
  <si>
    <t>Englefield Green West</t>
  </si>
  <si>
    <t>E05007356</t>
  </si>
  <si>
    <t>Foxhills</t>
  </si>
  <si>
    <t>E05007357</t>
  </si>
  <si>
    <t>New Haw</t>
  </si>
  <si>
    <t>E05007358</t>
  </si>
  <si>
    <t>E05007359</t>
  </si>
  <si>
    <t>Virginia Water</t>
  </si>
  <si>
    <t>E05007360</t>
  </si>
  <si>
    <t>Woodham</t>
  </si>
  <si>
    <t>E05007361</t>
  </si>
  <si>
    <t>Runnymede and Weybridge CC (pt)</t>
  </si>
  <si>
    <t>Spelthorne BC (pt)</t>
  </si>
  <si>
    <t>* as created by The Borough of Runnymede (Electoral Changes) Order 1999</t>
  </si>
  <si>
    <t>SPELTHORNE BOROUGH  *</t>
  </si>
  <si>
    <t>Ashford Common</t>
  </si>
  <si>
    <t>E05007362</t>
  </si>
  <si>
    <t>Ashford East</t>
  </si>
  <si>
    <t>E05007363</t>
  </si>
  <si>
    <t>Ashford North and Stanwell South</t>
  </si>
  <si>
    <t>E05007364</t>
  </si>
  <si>
    <t>Ashford Town</t>
  </si>
  <si>
    <t>E05007365</t>
  </si>
  <si>
    <t>Halliford and Sunbury West</t>
  </si>
  <si>
    <t>E05007366</t>
  </si>
  <si>
    <t>Laleham and Shepperton Green</t>
  </si>
  <si>
    <t>E05007367</t>
  </si>
  <si>
    <t>Riverside and Laleham</t>
  </si>
  <si>
    <t>E05007368</t>
  </si>
  <si>
    <t>Shepperton Town</t>
  </si>
  <si>
    <t>E05007369</t>
  </si>
  <si>
    <t>Staines</t>
  </si>
  <si>
    <t>E05007370</t>
  </si>
  <si>
    <t>Staines South</t>
  </si>
  <si>
    <t>E05007371</t>
  </si>
  <si>
    <t>Stanwell North</t>
  </si>
  <si>
    <t>E05007372</t>
  </si>
  <si>
    <t>Sunbury Common</t>
  </si>
  <si>
    <t>E05007373</t>
  </si>
  <si>
    <t>Sunbury East</t>
  </si>
  <si>
    <t>E05007374</t>
  </si>
  <si>
    <t>* as created by The Borough of Spelthorne (Electoral Changes) Order 1999</t>
  </si>
  <si>
    <t>SURREY HEATH BOROUGH  *</t>
  </si>
  <si>
    <t>Bagshot</t>
  </si>
  <si>
    <t>E05007375</t>
  </si>
  <si>
    <t>E05007376</t>
  </si>
  <si>
    <t>Chobham</t>
  </si>
  <si>
    <t>E05007377</t>
  </si>
  <si>
    <t>Frimley</t>
  </si>
  <si>
    <t>E05007378</t>
  </si>
  <si>
    <t>Frimley Green</t>
  </si>
  <si>
    <t>E05007379</t>
  </si>
  <si>
    <t>Heatherside</t>
  </si>
  <si>
    <t>E05007380</t>
  </si>
  <si>
    <t>Lightwater</t>
  </si>
  <si>
    <t>E05007381</t>
  </si>
  <si>
    <t>Mytchett and Deepcut</t>
  </si>
  <si>
    <t>E05007382</t>
  </si>
  <si>
    <t>Old Dean</t>
  </si>
  <si>
    <t>E05007383</t>
  </si>
  <si>
    <t>E05007384</t>
  </si>
  <si>
    <t>E05007385</t>
  </si>
  <si>
    <t>E05007386</t>
  </si>
  <si>
    <t>E05007387</t>
  </si>
  <si>
    <t>Watchetts</t>
  </si>
  <si>
    <t>E05007388</t>
  </si>
  <si>
    <t>E05007389</t>
  </si>
  <si>
    <t>Windlesham</t>
  </si>
  <si>
    <t>E05007390</t>
  </si>
  <si>
    <t>* as created by The Borough of Surrey Heath (Electoral Changes) Order 1999</t>
  </si>
  <si>
    <t>TANDRIDGE DISTRICT  *</t>
  </si>
  <si>
    <t>Bletchingley and Nutfield</t>
  </si>
  <si>
    <t>E05007409</t>
  </si>
  <si>
    <t>Burstow, Horne and Outwood</t>
  </si>
  <si>
    <t>E05007410</t>
  </si>
  <si>
    <t>Chaldon</t>
  </si>
  <si>
    <t>E05007391</t>
  </si>
  <si>
    <t>Dormansland and Felcourt</t>
  </si>
  <si>
    <t>E05007392</t>
  </si>
  <si>
    <t>Felbridge</t>
  </si>
  <si>
    <t>E05007393</t>
  </si>
  <si>
    <t>Godstone</t>
  </si>
  <si>
    <t>E05007394</t>
  </si>
  <si>
    <t>Harestone</t>
  </si>
  <si>
    <t>E05007395</t>
  </si>
  <si>
    <t>Limpsfield</t>
  </si>
  <si>
    <t>E05007396</t>
  </si>
  <si>
    <t>Lingfield and Crowhurst</t>
  </si>
  <si>
    <t>E05007397</t>
  </si>
  <si>
    <t>Oxted North and Tandridge</t>
  </si>
  <si>
    <t>E05007398</t>
  </si>
  <si>
    <t>Oxted South</t>
  </si>
  <si>
    <t>E05007399</t>
  </si>
  <si>
    <t>Portley</t>
  </si>
  <si>
    <t>E05007400</t>
  </si>
  <si>
    <t>E05007401</t>
  </si>
  <si>
    <t>Tatsfield and Titsey</t>
  </si>
  <si>
    <t>E05007402</t>
  </si>
  <si>
    <t>E05007403</t>
  </si>
  <si>
    <t>Warlingham East and Chelsham and Farleigh</t>
  </si>
  <si>
    <t>E05007404</t>
  </si>
  <si>
    <t>Warlingham West</t>
  </si>
  <si>
    <t>E05007405</t>
  </si>
  <si>
    <t>Westway</t>
  </si>
  <si>
    <t>E05007406</t>
  </si>
  <si>
    <t>Whyteleafe</t>
  </si>
  <si>
    <t>E05007407</t>
  </si>
  <si>
    <t>Woldingham</t>
  </si>
  <si>
    <t>E05007408</t>
  </si>
  <si>
    <t>* as created by The District of Tandridge (Electoral Changes) Order 1999 and</t>
  </si>
  <si>
    <t xml:space="preserve">   as altered by The Tandridge (Electoral Changes) Order 2007</t>
  </si>
  <si>
    <t>WAVERLEY BOROUGH  *</t>
  </si>
  <si>
    <t>Alfold, Cranleigh Rural and Ellens Green</t>
  </si>
  <si>
    <t>E05007411</t>
  </si>
  <si>
    <t>Blackheath and Wonersh</t>
  </si>
  <si>
    <t>E05007412</t>
  </si>
  <si>
    <t>Bramley, Busbridge and Hascombe</t>
  </si>
  <si>
    <t>E05007413</t>
  </si>
  <si>
    <t>Chiddingfold and Dunsfold</t>
  </si>
  <si>
    <t>E05007414</t>
  </si>
  <si>
    <t>Cranleigh East</t>
  </si>
  <si>
    <t>E05007415</t>
  </si>
  <si>
    <t>Cranleigh West</t>
  </si>
  <si>
    <t>E05007416</t>
  </si>
  <si>
    <t>Elstead and Thursley</t>
  </si>
  <si>
    <t>E05007417</t>
  </si>
  <si>
    <t>Ewhurst</t>
  </si>
  <si>
    <t>E05007418</t>
  </si>
  <si>
    <t>Farnham Bourne</t>
  </si>
  <si>
    <t>E05007419</t>
  </si>
  <si>
    <t>Farnham Castle</t>
  </si>
  <si>
    <t>E05007420</t>
  </si>
  <si>
    <t>Farnham Firgrove</t>
  </si>
  <si>
    <t>E05007421</t>
  </si>
  <si>
    <t>Farnham Hale and Heath End</t>
  </si>
  <si>
    <t>E05007422</t>
  </si>
  <si>
    <t>Farnham Moor Park</t>
  </si>
  <si>
    <t>E05007423</t>
  </si>
  <si>
    <t>Farnham Shortheath and Boundstone</t>
  </si>
  <si>
    <t>E05007424</t>
  </si>
  <si>
    <t>Farnham Upper Hale</t>
  </si>
  <si>
    <t>E05007425</t>
  </si>
  <si>
    <t>Farnham Weybourne and Badshot Lea</t>
  </si>
  <si>
    <t>E05007426</t>
  </si>
  <si>
    <t>Farnham Wrecclesham and Rowledge</t>
  </si>
  <si>
    <t>E05007427</t>
  </si>
  <si>
    <t>Frensham, Dockenfield and Tilford</t>
  </si>
  <si>
    <t>E05007428</t>
  </si>
  <si>
    <t>Godalming Binscombe</t>
  </si>
  <si>
    <t>E05007429</t>
  </si>
  <si>
    <t>Godalming Central and Ockford</t>
  </si>
  <si>
    <t>E05007430</t>
  </si>
  <si>
    <t>Godalming Charterhouse</t>
  </si>
  <si>
    <t>E05007431</t>
  </si>
  <si>
    <t>Godalming Farncombe and Catteshall</t>
  </si>
  <si>
    <t>E05007432</t>
  </si>
  <si>
    <t>Godalming Holloway</t>
  </si>
  <si>
    <t>E05007433</t>
  </si>
  <si>
    <t>Haslemere Critchmere and Shottermill</t>
  </si>
  <si>
    <t>E05007434</t>
  </si>
  <si>
    <t>Haslemere East and Grayswood</t>
  </si>
  <si>
    <t>E05007435</t>
  </si>
  <si>
    <t>Hindhead</t>
  </si>
  <si>
    <t>E05007436</t>
  </si>
  <si>
    <t>E05007437</t>
  </si>
  <si>
    <t>Shamley Green and Cranleigh North</t>
  </si>
  <si>
    <t>E05007438</t>
  </si>
  <si>
    <t>Witley and Hambledon</t>
  </si>
  <si>
    <t>E05007439</t>
  </si>
  <si>
    <t>* as created by The Borough of Waverley (Electoral Changes) Order 1999</t>
  </si>
  <si>
    <t>WOKING BOROUGH  *</t>
  </si>
  <si>
    <t>Brookwood</t>
  </si>
  <si>
    <t>E05007440</t>
  </si>
  <si>
    <t>Byfleet</t>
  </si>
  <si>
    <t>E05007441</t>
  </si>
  <si>
    <t>Goldsworth East</t>
  </si>
  <si>
    <t>E05007442</t>
  </si>
  <si>
    <t>Goldsworth West</t>
  </si>
  <si>
    <t>E05007443</t>
  </si>
  <si>
    <t>Hermitage and Knaphill South</t>
  </si>
  <si>
    <t>E05007444</t>
  </si>
  <si>
    <t>Horsell East and Woodham</t>
  </si>
  <si>
    <t>E05007445</t>
  </si>
  <si>
    <t>Horsell West</t>
  </si>
  <si>
    <t>E05007446</t>
  </si>
  <si>
    <t>Kingfield and Westfield</t>
  </si>
  <si>
    <t>E05007447</t>
  </si>
  <si>
    <t>Knaphill</t>
  </si>
  <si>
    <t>E05007448</t>
  </si>
  <si>
    <t>Maybury and Sheerwater</t>
  </si>
  <si>
    <t>E05007449</t>
  </si>
  <si>
    <t>Mayford and Sutton Green</t>
  </si>
  <si>
    <t>E05007450</t>
  </si>
  <si>
    <t>Mount Hermon East</t>
  </si>
  <si>
    <t>E05007451</t>
  </si>
  <si>
    <t>Mount Hermon West</t>
  </si>
  <si>
    <t>E05007452</t>
  </si>
  <si>
    <t>Old Woking</t>
  </si>
  <si>
    <t>E05007453</t>
  </si>
  <si>
    <t>Pyrford</t>
  </si>
  <si>
    <t>E05007454</t>
  </si>
  <si>
    <t>St John's and Hook Heath</t>
  </si>
  <si>
    <t>E05007455</t>
  </si>
  <si>
    <t>West Byfleet</t>
  </si>
  <si>
    <t>E05007456</t>
  </si>
  <si>
    <t>* as created by The Borough of Woking (Electoral Changes) Order 1999</t>
  </si>
  <si>
    <t>ADUR DISTRICT</t>
  </si>
  <si>
    <t>ARUN DISTRICT</t>
  </si>
  <si>
    <t>CHICHESTER DISTRICT</t>
  </si>
  <si>
    <t>CRAWLEY BOROUGH</t>
  </si>
  <si>
    <t>HORSHAM DISTRICT</t>
  </si>
  <si>
    <t>MID SUSSEX DISTRICT</t>
  </si>
  <si>
    <t>WORTHING BOROUGH</t>
  </si>
  <si>
    <t>Arundel and South Downs CC</t>
  </si>
  <si>
    <t>Arun (pt)</t>
  </si>
  <si>
    <t>Chichester (pt)</t>
  </si>
  <si>
    <t>Horsham (pt)</t>
  </si>
  <si>
    <t>Mid Sussex (pt)</t>
  </si>
  <si>
    <t>Bognor Regis and Littlehampton CC</t>
  </si>
  <si>
    <t>Chichester CC</t>
  </si>
  <si>
    <t>Crawley BC</t>
  </si>
  <si>
    <t>East Worthing and Shoreham BC</t>
  </si>
  <si>
    <t>Worthing (pt)</t>
  </si>
  <si>
    <t>Horsham CC</t>
  </si>
  <si>
    <t>Mid Sussex CC</t>
  </si>
  <si>
    <t>Worthing West BC</t>
  </si>
  <si>
    <t>ADUR DISTRICT  *</t>
  </si>
  <si>
    <t>Buckingham</t>
  </si>
  <si>
    <t>E05007562</t>
  </si>
  <si>
    <t>E05007563</t>
  </si>
  <si>
    <t>Cokeham</t>
  </si>
  <si>
    <t>E05007564</t>
  </si>
  <si>
    <t>E05007565</t>
  </si>
  <si>
    <t>E05007566</t>
  </si>
  <si>
    <t>E05007567</t>
  </si>
  <si>
    <t>Marine</t>
  </si>
  <si>
    <t>E05007568</t>
  </si>
  <si>
    <t>Mash Barn</t>
  </si>
  <si>
    <t>E05007569</t>
  </si>
  <si>
    <t>Peverel</t>
  </si>
  <si>
    <t>E05007570</t>
  </si>
  <si>
    <t>E05007571</t>
  </si>
  <si>
    <t>E05007572</t>
  </si>
  <si>
    <t>Southlands</t>
  </si>
  <si>
    <t>E05007573</t>
  </si>
  <si>
    <t>Southwick Green</t>
  </si>
  <si>
    <t>E05007574</t>
  </si>
  <si>
    <t>Widewater</t>
  </si>
  <si>
    <t>E05007575</t>
  </si>
  <si>
    <t>East Worthing and Shoreham BC (pt)</t>
  </si>
  <si>
    <t>* as created by The District of Adur (Electoral Changes) Order 2002</t>
  </si>
  <si>
    <t>ARUN DISTRICT  *</t>
  </si>
  <si>
    <t>Aldwick East</t>
  </si>
  <si>
    <t>E05009800</t>
  </si>
  <si>
    <t>Aldwick West</t>
  </si>
  <si>
    <t>E05009801</t>
  </si>
  <si>
    <t>Angmering &amp; Findon</t>
  </si>
  <si>
    <t>E05009802</t>
  </si>
  <si>
    <t>Arundel &amp; Walberton</t>
  </si>
  <si>
    <t>E05009803</t>
  </si>
  <si>
    <t>Barnham</t>
  </si>
  <si>
    <t>E05009804</t>
  </si>
  <si>
    <t>Beach</t>
  </si>
  <si>
    <t>E05009805</t>
  </si>
  <si>
    <t>Bersted</t>
  </si>
  <si>
    <t>E05009806</t>
  </si>
  <si>
    <t>E05009807</t>
  </si>
  <si>
    <t>Courtwick with Toddington</t>
  </si>
  <si>
    <t>E05009808</t>
  </si>
  <si>
    <t>East Preston</t>
  </si>
  <si>
    <t>E05009809</t>
  </si>
  <si>
    <t>Felpham East</t>
  </si>
  <si>
    <t>E05009810</t>
  </si>
  <si>
    <t>Felpham West</t>
  </si>
  <si>
    <t>E05009811</t>
  </si>
  <si>
    <t>Ferring</t>
  </si>
  <si>
    <t>E05009812</t>
  </si>
  <si>
    <t>Hotham</t>
  </si>
  <si>
    <t>E05009813</t>
  </si>
  <si>
    <t>E05009814</t>
  </si>
  <si>
    <t>Middleton-on-Sea</t>
  </si>
  <si>
    <t>E05009815</t>
  </si>
  <si>
    <t>Orchard</t>
  </si>
  <si>
    <t>E05009816</t>
  </si>
  <si>
    <t>Pagham</t>
  </si>
  <si>
    <t>E05009817</t>
  </si>
  <si>
    <t>Pevensey</t>
  </si>
  <si>
    <t>E05009818</t>
  </si>
  <si>
    <t>E05009819</t>
  </si>
  <si>
    <t>Rustington East</t>
  </si>
  <si>
    <t>E05009820</t>
  </si>
  <si>
    <t>Rustington West</t>
  </si>
  <si>
    <t>E05009821</t>
  </si>
  <si>
    <t>Yapton</t>
  </si>
  <si>
    <t>E05009822</t>
  </si>
  <si>
    <t>Arundel and South Downs CC (pt)</t>
  </si>
  <si>
    <t>Worthing West BC (pt)</t>
  </si>
  <si>
    <t>* as created by The Arun (Electoral Changes) Order 2015</t>
  </si>
  <si>
    <t>CHICHESTER DISTRICT  *</t>
  </si>
  <si>
    <t>Bosham</t>
  </si>
  <si>
    <t>E05007602</t>
  </si>
  <si>
    <t>Boxgrove</t>
  </si>
  <si>
    <t>E05007603</t>
  </si>
  <si>
    <t>E05007604</t>
  </si>
  <si>
    <t>Chichester East</t>
  </si>
  <si>
    <t>E05007605</t>
  </si>
  <si>
    <t>Chichester North</t>
  </si>
  <si>
    <t>E05007606</t>
  </si>
  <si>
    <t>Chichester South</t>
  </si>
  <si>
    <t>E05007607</t>
  </si>
  <si>
    <t>Chichester West</t>
  </si>
  <si>
    <t>E05007608</t>
  </si>
  <si>
    <t>E05007609</t>
  </si>
  <si>
    <t>Easebourne</t>
  </si>
  <si>
    <t>E05007610</t>
  </si>
  <si>
    <t>East Wittering</t>
  </si>
  <si>
    <t>E05007611</t>
  </si>
  <si>
    <t>E05007612</t>
  </si>
  <si>
    <t>Fishbourne</t>
  </si>
  <si>
    <t>E05007613</t>
  </si>
  <si>
    <t>Funtington</t>
  </si>
  <si>
    <t>E05007614</t>
  </si>
  <si>
    <t>Harting</t>
  </si>
  <si>
    <t>E05007615</t>
  </si>
  <si>
    <t>Lavant</t>
  </si>
  <si>
    <t>E05007616</t>
  </si>
  <si>
    <t>Midhurst</t>
  </si>
  <si>
    <t>E05007617</t>
  </si>
  <si>
    <t>North Mundham</t>
  </si>
  <si>
    <t>E05007618</t>
  </si>
  <si>
    <t>Petworth</t>
  </si>
  <si>
    <t>E05007619</t>
  </si>
  <si>
    <t>Plaistow</t>
  </si>
  <si>
    <t>E05007620</t>
  </si>
  <si>
    <t>Rogate</t>
  </si>
  <si>
    <t>E05007621</t>
  </si>
  <si>
    <t>Selsey North</t>
  </si>
  <si>
    <t>E05007622</t>
  </si>
  <si>
    <t>Selsey South</t>
  </si>
  <si>
    <t>E05007623</t>
  </si>
  <si>
    <t>Sidlesham</t>
  </si>
  <si>
    <t>E05007624</t>
  </si>
  <si>
    <t>Southbourne</t>
  </si>
  <si>
    <t>E05007625</t>
  </si>
  <si>
    <t>Stedham</t>
  </si>
  <si>
    <t>E05007626</t>
  </si>
  <si>
    <t>Tangmere</t>
  </si>
  <si>
    <t>E05007627</t>
  </si>
  <si>
    <t>West Wittering</t>
  </si>
  <si>
    <t>E05007628</t>
  </si>
  <si>
    <t>E05007629</t>
  </si>
  <si>
    <t>Wisborough Green</t>
  </si>
  <si>
    <t>E05007630</t>
  </si>
  <si>
    <t>* as created by The District of Chichester (Electoral Changes) Order 2002</t>
  </si>
  <si>
    <t>CRAWLEY BOROUGH  *</t>
  </si>
  <si>
    <t>Bewbush</t>
  </si>
  <si>
    <t>E05007631</t>
  </si>
  <si>
    <t>Broadfield North</t>
  </si>
  <si>
    <t>E05007632</t>
  </si>
  <si>
    <t>Broadfield South</t>
  </si>
  <si>
    <t>E05007633</t>
  </si>
  <si>
    <t>Furnace Green</t>
  </si>
  <si>
    <t>E05007634</t>
  </si>
  <si>
    <t>Gossops Green</t>
  </si>
  <si>
    <t>E05007635</t>
  </si>
  <si>
    <t>Ifield</t>
  </si>
  <si>
    <t>E05007636</t>
  </si>
  <si>
    <t>Langley Green</t>
  </si>
  <si>
    <t>E05007637</t>
  </si>
  <si>
    <t>Maidenbower</t>
  </si>
  <si>
    <t>E05007638</t>
  </si>
  <si>
    <t>E05007639</t>
  </si>
  <si>
    <t>Pound Hill North</t>
  </si>
  <si>
    <t>E05007640</t>
  </si>
  <si>
    <t>Pound Hill South and Worth</t>
  </si>
  <si>
    <t>E05007641</t>
  </si>
  <si>
    <t>E05007642</t>
  </si>
  <si>
    <t>Three Bridges</t>
  </si>
  <si>
    <t>E05007643</t>
  </si>
  <si>
    <t>Tilgate</t>
  </si>
  <si>
    <t>E05007644</t>
  </si>
  <si>
    <t>E05007645</t>
  </si>
  <si>
    <t>* as created by The Borough of Crawley (Electoral Changes) Order 2002</t>
  </si>
  <si>
    <t>HORSHAM DISTRICT  *</t>
  </si>
  <si>
    <t>Billingshurst and Shipley</t>
  </si>
  <si>
    <t>E05010086</t>
  </si>
  <si>
    <t>Bramber, Upper Beeding and Woodmancote</t>
  </si>
  <si>
    <t>E05007647</t>
  </si>
  <si>
    <t>Broadbridge Heath</t>
  </si>
  <si>
    <t>E05007648</t>
  </si>
  <si>
    <t>Chanctonbury</t>
  </si>
  <si>
    <t>E05007649</t>
  </si>
  <si>
    <t>Chantry</t>
  </si>
  <si>
    <t>E05007650</t>
  </si>
  <si>
    <t>Cowfold, Shermanbury and West Grinstead</t>
  </si>
  <si>
    <t>E05007651</t>
  </si>
  <si>
    <t>Denne</t>
  </si>
  <si>
    <t>E05007652</t>
  </si>
  <si>
    <t>E05007653</t>
  </si>
  <si>
    <t>Henfield</t>
  </si>
  <si>
    <t>E05007654</t>
  </si>
  <si>
    <t>Holbrook East</t>
  </si>
  <si>
    <t>E05007655</t>
  </si>
  <si>
    <t>Holbrook West</t>
  </si>
  <si>
    <t>E05007656</t>
  </si>
  <si>
    <t>Horsham Park</t>
  </si>
  <si>
    <t>E05007657</t>
  </si>
  <si>
    <t>Itchingfield, Slinfold and Warnham</t>
  </si>
  <si>
    <t>E05007658</t>
  </si>
  <si>
    <t>Nuthurst</t>
  </si>
  <si>
    <t>E05007659</t>
  </si>
  <si>
    <t>Pulborough and Coldwatham</t>
  </si>
  <si>
    <t>E05007660</t>
  </si>
  <si>
    <t>Roffey North</t>
  </si>
  <si>
    <t>E05007661</t>
  </si>
  <si>
    <t>Roffey South</t>
  </si>
  <si>
    <t>E05007662</t>
  </si>
  <si>
    <t>Rudgwick</t>
  </si>
  <si>
    <t>E05007663</t>
  </si>
  <si>
    <t>Rusper and Colgate</t>
  </si>
  <si>
    <t>E05007664</t>
  </si>
  <si>
    <t>Southwater</t>
  </si>
  <si>
    <t>E05010087</t>
  </si>
  <si>
    <t>Steyning</t>
  </si>
  <si>
    <t>E05007666</t>
  </si>
  <si>
    <t>Trafalgar</t>
  </si>
  <si>
    <t>E05007667</t>
  </si>
  <si>
    <t>Horsham CC (pt)</t>
  </si>
  <si>
    <t>* as created by The District of Horsham (Electoral Changes) Order 2002 and</t>
  </si>
  <si>
    <t xml:space="preserve">   as altered by The Horsham (Electoral Changes) Order 2014</t>
  </si>
  <si>
    <t>MID SUSSEX DISTRICT  *</t>
  </si>
  <si>
    <t>Ardingly and Balcombe</t>
  </si>
  <si>
    <t>E05007668</t>
  </si>
  <si>
    <t>Ashurst Wood</t>
  </si>
  <si>
    <t>E05007669</t>
  </si>
  <si>
    <t>Bolney</t>
  </si>
  <si>
    <t>E05007670</t>
  </si>
  <si>
    <t>Burgess Hill Dunstall</t>
  </si>
  <si>
    <t>E05007671</t>
  </si>
  <si>
    <t>Burgess Hill Franklands</t>
  </si>
  <si>
    <t>E05007672</t>
  </si>
  <si>
    <t>Burgess Hill Leylands</t>
  </si>
  <si>
    <t>E05007673</t>
  </si>
  <si>
    <t>Burgess Hill Meeds</t>
  </si>
  <si>
    <t>E05007674</t>
  </si>
  <si>
    <t>Burgess Hill St Andrews</t>
  </si>
  <si>
    <t>E05007675</t>
  </si>
  <si>
    <t>Burgess Hill Victoria</t>
  </si>
  <si>
    <t>E05007676</t>
  </si>
  <si>
    <t>Copthorne and Worth</t>
  </si>
  <si>
    <t>E05007677</t>
  </si>
  <si>
    <t>Crawley Down and Turners Hill</t>
  </si>
  <si>
    <t>E05007678</t>
  </si>
  <si>
    <t>Cuckfield</t>
  </si>
  <si>
    <t>E05007679</t>
  </si>
  <si>
    <t>East Grinstead Ashplats</t>
  </si>
  <si>
    <t>E05007680</t>
  </si>
  <si>
    <t>East Grinstead Baldwins</t>
  </si>
  <si>
    <t>E05007681</t>
  </si>
  <si>
    <t>East Grinstead Herontye</t>
  </si>
  <si>
    <t>E05007682</t>
  </si>
  <si>
    <t>East Grinstead Imberhorne</t>
  </si>
  <si>
    <t>E05007683</t>
  </si>
  <si>
    <t>East Grinstead Town</t>
  </si>
  <si>
    <t>E05007684</t>
  </si>
  <si>
    <t>Hassocks</t>
  </si>
  <si>
    <t>E05007685</t>
  </si>
  <si>
    <t>Haywards Heath Ashenground</t>
  </si>
  <si>
    <t>E05007686</t>
  </si>
  <si>
    <t>Haywards Heath Bentswood</t>
  </si>
  <si>
    <t>E05007687</t>
  </si>
  <si>
    <t>Haywards Heath Franklands</t>
  </si>
  <si>
    <t>E05007688</t>
  </si>
  <si>
    <t>Haywards Heath Heath</t>
  </si>
  <si>
    <t>E05007689</t>
  </si>
  <si>
    <t>Haywards Heath Lucastes</t>
  </si>
  <si>
    <t>E05007690</t>
  </si>
  <si>
    <t>High Weald</t>
  </si>
  <si>
    <t>E05007691</t>
  </si>
  <si>
    <t>Hurstpierpoint and Downs</t>
  </si>
  <si>
    <t>E05007692</t>
  </si>
  <si>
    <t>Lindfield</t>
  </si>
  <si>
    <t>E05007693</t>
  </si>
  <si>
    <t>Crawley BC (pt)</t>
  </si>
  <si>
    <t>* as created by The District of Mid Sussex (Electoral Changes) Order 2002</t>
  </si>
  <si>
    <t>WORTHING BOROUGH  *</t>
  </si>
  <si>
    <t>E05007694</t>
  </si>
  <si>
    <t>E05007695</t>
  </si>
  <si>
    <t>E05007696</t>
  </si>
  <si>
    <t>Durrington</t>
  </si>
  <si>
    <t>E05007697</t>
  </si>
  <si>
    <t>Gaisford</t>
  </si>
  <si>
    <t>E05007698</t>
  </si>
  <si>
    <t>E05007699</t>
  </si>
  <si>
    <t>Heene</t>
  </si>
  <si>
    <t>E05007700</t>
  </si>
  <si>
    <t>E05007701</t>
  </si>
  <si>
    <t>Northbrook</t>
  </si>
  <si>
    <t>E05007702</t>
  </si>
  <si>
    <t>Offington</t>
  </si>
  <si>
    <t>E05007703</t>
  </si>
  <si>
    <t>Salvington</t>
  </si>
  <si>
    <t>E05007704</t>
  </si>
  <si>
    <t>Selden</t>
  </si>
  <si>
    <t>E05007705</t>
  </si>
  <si>
    <t>Tarring</t>
  </si>
  <si>
    <t>E05007706</t>
  </si>
  <si>
    <t>* as created by The Borough of Worthing (Electoral Changes) Order 2002</t>
  </si>
  <si>
    <t>Birmingham Selly Oak and Halesowen BC (pt)</t>
  </si>
  <si>
    <t>Birmingham Selly Oak and Halesowen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</si>
</sst>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0_)"/>
    <numFmt numFmtId="166" formatCode="0_)"/>
    <numFmt numFmtId="167" formatCode="0."/>
  </numFmts>
  <fonts count="16">
    <font>
      <sz val="10"/>
      <name val="Book Antiqu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LinePrinter"/>
    </font>
    <font>
      <sz val="8"/>
      <name val="Book Antiqua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Arial"/>
      <family val="2"/>
    </font>
    <font>
      <sz val="11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2">
    <xf numFmtId="0" fontId="0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 applyFont="0"/>
    <xf numFmtId="164" fontId="4" fillId="0" borderId="0"/>
    <xf numFmtId="164" fontId="4" fillId="0" borderId="0"/>
    <xf numFmtId="164" fontId="4" fillId="0" borderId="0"/>
    <xf numFmtId="166" fontId="4" fillId="0" borderId="0"/>
    <xf numFmtId="164" fontId="4" fillId="0" borderId="0"/>
    <xf numFmtId="0" fontId="6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 applyFont="0"/>
    <xf numFmtId="0" fontId="12" fillId="0" borderId="0"/>
    <xf numFmtId="164" fontId="4" fillId="0" borderId="0"/>
    <xf numFmtId="0" fontId="13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</cellStyleXfs>
  <cellXfs count="853">
    <xf numFmtId="0" fontId="0" fillId="0" borderId="0" xfId="0"/>
    <xf numFmtId="0" fontId="7" fillId="0" borderId="0" xfId="0" quotePrefix="1" applyNumberFormat="1" applyFont="1"/>
    <xf numFmtId="164" fontId="7" fillId="0" borderId="0" xfId="10" applyFont="1"/>
    <xf numFmtId="3" fontId="7" fillId="0" borderId="0" xfId="10" applyNumberFormat="1" applyFont="1"/>
    <xf numFmtId="164" fontId="7" fillId="0" borderId="0" xfId="4" applyFont="1" applyAlignment="1" applyProtection="1">
      <alignment horizontal="right"/>
      <protection locked="0"/>
    </xf>
    <xf numFmtId="164" fontId="7" fillId="0" borderId="0" xfId="4" applyFont="1"/>
    <xf numFmtId="164" fontId="7" fillId="0" borderId="0" xfId="4" applyFont="1" applyAlignment="1" applyProtection="1">
      <alignment horizontal="left"/>
      <protection locked="0"/>
    </xf>
    <xf numFmtId="3" fontId="7" fillId="0" borderId="0" xfId="0" applyNumberFormat="1" applyFont="1" applyBorder="1" applyAlignment="1" applyProtection="1">
      <protection locked="0"/>
    </xf>
    <xf numFmtId="3" fontId="7" fillId="0" borderId="0" xfId="0" applyNumberFormat="1" applyFont="1" applyAlignment="1"/>
    <xf numFmtId="164" fontId="7" fillId="0" borderId="0" xfId="3" applyFont="1"/>
    <xf numFmtId="164" fontId="7" fillId="0" borderId="0" xfId="2" applyFont="1" applyAlignment="1" applyProtection="1">
      <alignment horizontal="right"/>
      <protection locked="0"/>
    </xf>
    <xf numFmtId="164" fontId="7" fillId="0" borderId="0" xfId="2" applyFont="1"/>
    <xf numFmtId="164" fontId="7" fillId="0" borderId="0" xfId="2" applyFont="1" applyAlignment="1" applyProtection="1">
      <alignment horizontal="left"/>
      <protection locked="0"/>
    </xf>
    <xf numFmtId="3" fontId="7" fillId="0" borderId="0" xfId="0" applyNumberFormat="1" applyFont="1"/>
    <xf numFmtId="164" fontId="7" fillId="0" borderId="0" xfId="11" applyFont="1" applyAlignment="1" applyProtection="1">
      <alignment horizontal="left"/>
      <protection locked="0"/>
    </xf>
    <xf numFmtId="164" fontId="8" fillId="0" borderId="0" xfId="12" applyFont="1" applyAlignment="1" applyProtection="1">
      <alignment horizontal="right"/>
      <protection locked="0"/>
    </xf>
    <xf numFmtId="164" fontId="8" fillId="0" borderId="0" xfId="12" applyFont="1"/>
    <xf numFmtId="164" fontId="7" fillId="0" borderId="0" xfId="12" applyFont="1"/>
    <xf numFmtId="164" fontId="8" fillId="0" borderId="0" xfId="12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/>
    <xf numFmtId="167" fontId="7" fillId="0" borderId="0" xfId="8" applyNumberFormat="1" applyFont="1" applyAlignment="1" applyProtection="1">
      <alignment horizontal="left"/>
      <protection locked="0"/>
    </xf>
    <xf numFmtId="164" fontId="7" fillId="0" borderId="0" xfId="5" applyFont="1" applyAlignment="1" applyProtection="1">
      <alignment horizontal="left"/>
      <protection locked="0"/>
    </xf>
    <xf numFmtId="164" fontId="7" fillId="0" borderId="0" xfId="5" applyFont="1"/>
    <xf numFmtId="164" fontId="7" fillId="0" borderId="0" xfId="5" applyFont="1" applyAlignment="1" applyProtection="1">
      <alignment horizontal="right"/>
      <protection locked="0"/>
    </xf>
    <xf numFmtId="3" fontId="7" fillId="0" borderId="0" xfId="5" applyNumberFormat="1" applyFont="1" applyProtection="1">
      <protection locked="0"/>
    </xf>
    <xf numFmtId="3" fontId="7" fillId="0" borderId="1" xfId="5" applyNumberFormat="1" applyFont="1" applyBorder="1" applyProtection="1">
      <protection locked="0"/>
    </xf>
    <xf numFmtId="165" fontId="7" fillId="0" borderId="0" xfId="5" applyNumberFormat="1" applyFont="1" applyAlignment="1" applyProtection="1">
      <alignment horizontal="left"/>
      <protection locked="0"/>
    </xf>
    <xf numFmtId="3" fontId="7" fillId="0" borderId="2" xfId="5" applyNumberFormat="1" applyFont="1" applyBorder="1" applyProtection="1">
      <protection locked="0"/>
    </xf>
    <xf numFmtId="3" fontId="7" fillId="0" borderId="0" xfId="5" applyNumberFormat="1" applyFont="1"/>
    <xf numFmtId="166" fontId="7" fillId="0" borderId="0" xfId="5" applyNumberFormat="1" applyFont="1" applyProtection="1">
      <protection locked="0"/>
    </xf>
    <xf numFmtId="164" fontId="7" fillId="0" borderId="0" xfId="5" applyFont="1" applyFill="1" applyAlignment="1" applyProtection="1">
      <alignment horizontal="left"/>
      <protection locked="0"/>
    </xf>
    <xf numFmtId="3" fontId="7" fillId="0" borderId="2" xfId="5" applyNumberFormat="1" applyFont="1" applyBorder="1"/>
    <xf numFmtId="167" fontId="7" fillId="0" borderId="0" xfId="5" applyNumberFormat="1" applyFont="1" applyAlignment="1" applyProtection="1">
      <alignment horizontal="left"/>
      <protection locked="0"/>
    </xf>
    <xf numFmtId="167" fontId="7" fillId="0" borderId="0" xfId="10" applyNumberFormat="1" applyFont="1" applyAlignment="1">
      <alignment horizontal="left"/>
    </xf>
    <xf numFmtId="0" fontId="3" fillId="0" borderId="0" xfId="0" applyFont="1"/>
    <xf numFmtId="164" fontId="7" fillId="0" borderId="0" xfId="5" applyFont="1" applyProtection="1">
      <protection locked="0"/>
    </xf>
    <xf numFmtId="164" fontId="7" fillId="0" borderId="0" xfId="7" applyFont="1"/>
    <xf numFmtId="164" fontId="7" fillId="0" borderId="0" xfId="7" applyFont="1" applyAlignment="1" applyProtection="1">
      <alignment horizontal="right"/>
      <protection locked="0"/>
    </xf>
    <xf numFmtId="164" fontId="8" fillId="0" borderId="0" xfId="13" applyFont="1"/>
    <xf numFmtId="164" fontId="7" fillId="0" borderId="0" xfId="7" applyFont="1" applyAlignment="1" applyProtection="1">
      <alignment horizontal="left"/>
      <protection locked="0"/>
    </xf>
    <xf numFmtId="164" fontId="8" fillId="0" borderId="0" xfId="10" applyFont="1"/>
    <xf numFmtId="164" fontId="8" fillId="0" borderId="0" xfId="10" applyFont="1" applyAlignment="1" applyProtection="1">
      <alignment horizontal="left"/>
      <protection locked="0"/>
    </xf>
    <xf numFmtId="3" fontId="8" fillId="0" borderId="0" xfId="10" applyNumberFormat="1" applyFont="1" applyProtection="1">
      <protection locked="0"/>
    </xf>
    <xf numFmtId="164" fontId="8" fillId="0" borderId="0" xfId="10" applyFont="1" applyProtection="1">
      <protection locked="0"/>
    </xf>
    <xf numFmtId="165" fontId="8" fillId="0" borderId="0" xfId="10" applyNumberFormat="1" applyFont="1" applyProtection="1">
      <protection locked="0"/>
    </xf>
    <xf numFmtId="3" fontId="8" fillId="0" borderId="0" xfId="10" applyNumberFormat="1" applyFont="1"/>
    <xf numFmtId="164" fontId="9" fillId="0" borderId="0" xfId="10" applyFont="1" applyAlignment="1" applyProtection="1">
      <alignment horizontal="left"/>
      <protection locked="0"/>
    </xf>
    <xf numFmtId="166" fontId="8" fillId="0" borderId="0" xfId="10" applyNumberFormat="1" applyFont="1" applyProtection="1">
      <protection locked="0"/>
    </xf>
    <xf numFmtId="164" fontId="10" fillId="0" borderId="0" xfId="10" applyFont="1"/>
    <xf numFmtId="165" fontId="10" fillId="0" borderId="0" xfId="10" applyNumberFormat="1" applyFont="1" applyProtection="1">
      <protection locked="0"/>
    </xf>
    <xf numFmtId="164" fontId="10" fillId="0" borderId="0" xfId="10" applyFont="1" applyAlignment="1" applyProtection="1">
      <alignment horizontal="left"/>
      <protection locked="0"/>
    </xf>
    <xf numFmtId="3" fontId="10" fillId="0" borderId="0" xfId="10" applyNumberFormat="1" applyFont="1" applyProtection="1">
      <protection locked="0"/>
    </xf>
    <xf numFmtId="164" fontId="7" fillId="0" borderId="0" xfId="9" applyFont="1" applyAlignment="1" applyProtection="1">
      <alignment horizontal="left"/>
      <protection locked="0"/>
    </xf>
    <xf numFmtId="164" fontId="7" fillId="0" borderId="0" xfId="9" applyFont="1" applyAlignment="1" applyProtection="1">
      <alignment horizontal="right"/>
      <protection locked="0"/>
    </xf>
    <xf numFmtId="164" fontId="7" fillId="0" borderId="0" xfId="9" applyFont="1"/>
    <xf numFmtId="3" fontId="7" fillId="0" borderId="0" xfId="9" applyNumberFormat="1" applyFont="1" applyProtection="1">
      <protection locked="0"/>
    </xf>
    <xf numFmtId="10" fontId="7" fillId="0" borderId="0" xfId="9" applyNumberFormat="1" applyFont="1" applyProtection="1">
      <protection locked="0"/>
    </xf>
    <xf numFmtId="164" fontId="7" fillId="0" borderId="0" xfId="9" applyFont="1" applyProtection="1">
      <protection locked="0"/>
    </xf>
    <xf numFmtId="3" fontId="7" fillId="0" borderId="0" xfId="9" applyNumberFormat="1" applyFont="1"/>
    <xf numFmtId="3" fontId="11" fillId="0" borderId="0" xfId="9" applyNumberFormat="1" applyFont="1" applyProtection="1">
      <protection locked="0"/>
    </xf>
    <xf numFmtId="164" fontId="7" fillId="0" borderId="0" xfId="1" applyFont="1" applyAlignment="1" applyProtection="1">
      <alignment horizontal="right"/>
      <protection locked="0"/>
    </xf>
    <xf numFmtId="164" fontId="7" fillId="0" borderId="0" xfId="6" applyFont="1" applyAlignment="1" applyProtection="1">
      <alignment horizontal="left"/>
      <protection locked="0"/>
    </xf>
    <xf numFmtId="164" fontId="7" fillId="0" borderId="0" xfId="6" applyFont="1"/>
    <xf numFmtId="164" fontId="7" fillId="0" borderId="0" xfId="6" applyFont="1" applyAlignment="1" applyProtection="1">
      <alignment horizontal="right"/>
      <protection locked="0"/>
    </xf>
    <xf numFmtId="3" fontId="7" fillId="0" borderId="0" xfId="6" applyNumberFormat="1" applyFont="1" applyProtection="1">
      <protection locked="0"/>
    </xf>
    <xf numFmtId="3" fontId="7" fillId="0" borderId="1" xfId="6" applyNumberFormat="1" applyFont="1" applyBorder="1" applyProtection="1">
      <protection locked="0"/>
    </xf>
    <xf numFmtId="3" fontId="7" fillId="0" borderId="1" xfId="10" applyNumberFormat="1" applyFont="1" applyBorder="1"/>
    <xf numFmtId="165" fontId="7" fillId="0" borderId="0" xfId="6" applyNumberFormat="1" applyFont="1" applyAlignment="1" applyProtection="1">
      <alignment horizontal="left"/>
      <protection locked="0"/>
    </xf>
    <xf numFmtId="164" fontId="7" fillId="0" borderId="0" xfId="6" applyFont="1" applyProtection="1">
      <protection locked="0"/>
    </xf>
    <xf numFmtId="166" fontId="7" fillId="0" borderId="0" xfId="6" applyNumberFormat="1" applyFont="1" applyProtection="1">
      <protection locked="0"/>
    </xf>
    <xf numFmtId="3" fontId="7" fillId="0" borderId="0" xfId="6" applyNumberFormat="1" applyFont="1"/>
    <xf numFmtId="3" fontId="7" fillId="0" borderId="1" xfId="6" applyNumberFormat="1" applyFont="1" applyBorder="1"/>
    <xf numFmtId="3" fontId="7" fillId="0" borderId="2" xfId="6" applyNumberFormat="1" applyFont="1" applyBorder="1"/>
    <xf numFmtId="3" fontId="7" fillId="0" borderId="2" xfId="6" applyNumberFormat="1" applyFont="1" applyBorder="1" applyProtection="1">
      <protection locked="0"/>
    </xf>
    <xf numFmtId="3" fontId="7" fillId="0" borderId="0" xfId="6" applyNumberFormat="1" applyFont="1" applyBorder="1" applyProtection="1">
      <protection locked="0"/>
    </xf>
    <xf numFmtId="167" fontId="7" fillId="0" borderId="0" xfId="6" applyNumberFormat="1" applyFont="1" applyAlignment="1" applyProtection="1">
      <alignment horizontal="left"/>
      <protection locked="0"/>
    </xf>
    <xf numFmtId="3" fontId="7" fillId="0" borderId="0" xfId="7" applyNumberFormat="1" applyFont="1" applyProtection="1">
      <protection locked="0"/>
    </xf>
    <xf numFmtId="3" fontId="7" fillId="0" borderId="1" xfId="7" applyNumberFormat="1" applyFont="1" applyBorder="1" applyProtection="1">
      <protection locked="0"/>
    </xf>
    <xf numFmtId="3" fontId="7" fillId="0" borderId="0" xfId="7" applyNumberFormat="1" applyFont="1"/>
    <xf numFmtId="165" fontId="7" fillId="0" borderId="0" xfId="7" applyNumberFormat="1" applyFont="1" applyAlignment="1" applyProtection="1">
      <alignment horizontal="left"/>
      <protection locked="0"/>
    </xf>
    <xf numFmtId="167" fontId="7" fillId="0" borderId="0" xfId="7" applyNumberFormat="1" applyFont="1" applyAlignment="1">
      <alignment horizontal="left"/>
    </xf>
    <xf numFmtId="167" fontId="7" fillId="0" borderId="0" xfId="7" applyNumberFormat="1" applyFont="1" applyAlignment="1" applyProtection="1">
      <alignment horizontal="left"/>
      <protection locked="0"/>
    </xf>
    <xf numFmtId="164" fontId="7" fillId="0" borderId="0" xfId="7" applyFont="1" applyProtection="1">
      <protection locked="0"/>
    </xf>
    <xf numFmtId="164" fontId="7" fillId="0" borderId="0" xfId="15" applyFont="1" applyAlignment="1" applyProtection="1">
      <alignment horizontal="left"/>
      <protection locked="0"/>
    </xf>
    <xf numFmtId="164" fontId="7" fillId="0" borderId="0" xfId="15" applyFont="1"/>
    <xf numFmtId="164" fontId="7" fillId="0" borderId="0" xfId="15" applyFont="1" applyAlignment="1" applyProtection="1">
      <alignment horizontal="right"/>
      <protection locked="0"/>
    </xf>
    <xf numFmtId="3" fontId="7" fillId="0" borderId="0" xfId="15" applyNumberFormat="1" applyFont="1" applyProtection="1">
      <protection locked="0"/>
    </xf>
    <xf numFmtId="164" fontId="7" fillId="0" borderId="0" xfId="15" applyFont="1" applyProtection="1">
      <protection locked="0"/>
    </xf>
    <xf numFmtId="3" fontId="7" fillId="0" borderId="0" xfId="15" applyNumberFormat="1" applyFont="1"/>
    <xf numFmtId="166" fontId="7" fillId="0" borderId="0" xfId="15" applyNumberFormat="1" applyFont="1" applyProtection="1">
      <protection locked="0"/>
    </xf>
    <xf numFmtId="3" fontId="7" fillId="0" borderId="0" xfId="15" applyNumberFormat="1" applyFont="1" applyBorder="1" applyProtection="1">
      <protection locked="0"/>
    </xf>
    <xf numFmtId="3" fontId="7" fillId="0" borderId="2" xfId="15" applyNumberFormat="1" applyFont="1" applyBorder="1" applyProtection="1">
      <protection locked="0"/>
    </xf>
    <xf numFmtId="167" fontId="7" fillId="0" borderId="0" xfId="1" applyNumberFormat="1" applyFont="1" applyAlignment="1" applyProtection="1">
      <alignment horizontal="left"/>
      <protection locked="0"/>
    </xf>
    <xf numFmtId="164" fontId="7" fillId="0" borderId="0" xfId="11" applyFont="1"/>
    <xf numFmtId="164" fontId="7" fillId="0" borderId="0" xfId="11" applyFont="1" applyAlignment="1" applyProtection="1">
      <alignment horizontal="right"/>
      <protection locked="0"/>
    </xf>
    <xf numFmtId="3" fontId="7" fillId="0" borderId="0" xfId="11" applyNumberFormat="1" applyFont="1" applyProtection="1">
      <protection locked="0"/>
    </xf>
    <xf numFmtId="165" fontId="7" fillId="0" borderId="0" xfId="11" applyNumberFormat="1" applyFont="1" applyAlignment="1" applyProtection="1">
      <alignment horizontal="left"/>
      <protection locked="0"/>
    </xf>
    <xf numFmtId="3" fontId="7" fillId="0" borderId="0" xfId="11" applyNumberFormat="1" applyFont="1"/>
    <xf numFmtId="3" fontId="7" fillId="0" borderId="1" xfId="11" applyNumberFormat="1" applyFont="1" applyBorder="1" applyProtection="1">
      <protection locked="0"/>
    </xf>
    <xf numFmtId="166" fontId="7" fillId="0" borderId="0" xfId="11" applyNumberFormat="1" applyFont="1" applyProtection="1">
      <protection locked="0"/>
    </xf>
    <xf numFmtId="167" fontId="7" fillId="0" borderId="0" xfId="11" applyNumberFormat="1" applyFont="1" applyAlignment="1" applyProtection="1">
      <alignment horizontal="left"/>
      <protection locked="0"/>
    </xf>
    <xf numFmtId="167" fontId="7" fillId="0" borderId="0" xfId="11" applyNumberFormat="1" applyFont="1" applyAlignment="1">
      <alignment horizontal="left"/>
    </xf>
    <xf numFmtId="164" fontId="7" fillId="0" borderId="0" xfId="11" applyFont="1" applyProtection="1">
      <protection locked="0"/>
    </xf>
    <xf numFmtId="3" fontId="7" fillId="0" borderId="2" xfId="11" applyNumberFormat="1" applyFont="1" applyBorder="1" applyProtection="1">
      <protection locked="0"/>
    </xf>
    <xf numFmtId="164" fontId="7" fillId="0" borderId="0" xfId="1" applyFont="1" applyAlignment="1" applyProtection="1">
      <alignment horizontal="left"/>
      <protection locked="0"/>
    </xf>
    <xf numFmtId="164" fontId="7" fillId="0" borderId="0" xfId="1" applyFont="1"/>
    <xf numFmtId="3" fontId="7" fillId="0" borderId="0" xfId="1" applyNumberFormat="1" applyFont="1" applyProtection="1">
      <protection locked="0"/>
    </xf>
    <xf numFmtId="3" fontId="7" fillId="0" borderId="0" xfId="1" applyNumberFormat="1" applyFont="1" applyBorder="1" applyProtection="1">
      <protection locked="0"/>
    </xf>
    <xf numFmtId="165" fontId="7" fillId="0" borderId="0" xfId="1" applyNumberFormat="1" applyFont="1" applyAlignment="1" applyProtection="1">
      <alignment horizontal="left"/>
      <protection locked="0"/>
    </xf>
    <xf numFmtId="3" fontId="7" fillId="0" borderId="0" xfId="1" applyNumberFormat="1" applyFont="1"/>
    <xf numFmtId="167" fontId="7" fillId="0" borderId="0" xfId="1" applyNumberFormat="1" applyFont="1" applyAlignment="1">
      <alignment horizontal="left"/>
    </xf>
    <xf numFmtId="166" fontId="7" fillId="0" borderId="0" xfId="14" applyFont="1" applyAlignment="1" applyProtection="1">
      <alignment horizontal="left"/>
      <protection locked="0"/>
    </xf>
    <xf numFmtId="166" fontId="7" fillId="0" borderId="0" xfId="14" applyFont="1"/>
    <xf numFmtId="3" fontId="7" fillId="0" borderId="0" xfId="14" applyNumberFormat="1" applyFont="1" applyProtection="1">
      <protection locked="0"/>
    </xf>
    <xf numFmtId="3" fontId="7" fillId="0" borderId="0" xfId="14" applyNumberFormat="1" applyFont="1"/>
    <xf numFmtId="2" fontId="7" fillId="0" borderId="0" xfId="14" applyNumberFormat="1" applyFont="1" applyAlignment="1">
      <alignment horizontal="left"/>
    </xf>
    <xf numFmtId="3" fontId="7" fillId="0" borderId="1" xfId="14" applyNumberFormat="1" applyFont="1" applyBorder="1" applyProtection="1">
      <protection locked="0"/>
    </xf>
    <xf numFmtId="166" fontId="7" fillId="0" borderId="0" xfId="14" applyNumberFormat="1" applyFont="1" applyProtection="1">
      <protection locked="0"/>
    </xf>
    <xf numFmtId="167" fontId="7" fillId="0" borderId="0" xfId="14" applyNumberFormat="1" applyFont="1" applyAlignment="1" applyProtection="1">
      <alignment horizontal="left"/>
      <protection locked="0"/>
    </xf>
    <xf numFmtId="166" fontId="7" fillId="0" borderId="0" xfId="14" applyFont="1" applyProtection="1">
      <protection locked="0"/>
    </xf>
    <xf numFmtId="167" fontId="7" fillId="0" borderId="0" xfId="15" applyNumberFormat="1" applyFont="1" applyAlignment="1" applyProtection="1">
      <alignment horizontal="left"/>
      <protection locked="0"/>
    </xf>
    <xf numFmtId="164" fontId="7" fillId="0" borderId="0" xfId="1" applyFont="1" applyProtection="1">
      <protection locked="0"/>
    </xf>
    <xf numFmtId="3" fontId="7" fillId="0" borderId="1" xfId="1" applyNumberFormat="1" applyFont="1" applyBorder="1"/>
    <xf numFmtId="3" fontId="7" fillId="0" borderId="1" xfId="1" applyNumberFormat="1" applyFont="1" applyBorder="1" applyProtection="1">
      <protection locked="0"/>
    </xf>
    <xf numFmtId="3" fontId="7" fillId="0" borderId="1" xfId="15" applyNumberFormat="1" applyFont="1" applyBorder="1" applyProtection="1">
      <protection locked="0"/>
    </xf>
    <xf numFmtId="164" fontId="11" fillId="0" borderId="0" xfId="9" applyFont="1" applyAlignment="1" applyProtection="1">
      <alignment horizontal="left"/>
      <protection locked="0"/>
    </xf>
    <xf numFmtId="164" fontId="11" fillId="0" borderId="0" xfId="9" applyFont="1" applyAlignment="1" applyProtection="1">
      <alignment horizontal="right"/>
      <protection locked="0"/>
    </xf>
    <xf numFmtId="164" fontId="11" fillId="0" borderId="0" xfId="9" applyFont="1"/>
    <xf numFmtId="166" fontId="11" fillId="0" borderId="0" xfId="9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64" fontId="10" fillId="0" borderId="0" xfId="10" applyFont="1" applyAlignment="1" applyProtection="1">
      <alignment horizontal="centerContinuous"/>
      <protection locked="0"/>
    </xf>
    <xf numFmtId="165" fontId="10" fillId="0" borderId="0" xfId="10" applyNumberFormat="1" applyFont="1" applyAlignment="1" applyProtection="1">
      <alignment horizontal="left"/>
      <protection locked="0"/>
    </xf>
    <xf numFmtId="164" fontId="10" fillId="0" borderId="0" xfId="10" applyFont="1" applyAlignment="1" applyProtection="1">
      <alignment horizontal="right"/>
      <protection locked="0"/>
    </xf>
    <xf numFmtId="3" fontId="7" fillId="0" borderId="2" xfId="1" applyNumberFormat="1" applyFont="1" applyBorder="1"/>
    <xf numFmtId="3" fontId="7" fillId="0" borderId="0" xfId="14" applyNumberFormat="1" applyFont="1" applyBorder="1" applyProtection="1">
      <protection locked="0"/>
    </xf>
    <xf numFmtId="3" fontId="7" fillId="0" borderId="0" xfId="1" applyNumberFormat="1" applyFont="1" applyBorder="1"/>
    <xf numFmtId="3" fontId="7" fillId="0" borderId="1" xfId="11" applyNumberFormat="1" applyFont="1" applyBorder="1"/>
    <xf numFmtId="3" fontId="7" fillId="0" borderId="2" xfId="11" applyNumberFormat="1" applyFont="1" applyBorder="1"/>
    <xf numFmtId="3" fontId="7" fillId="0" borderId="0" xfId="11" applyNumberFormat="1" applyFont="1" applyBorder="1" applyProtection="1">
      <protection locked="0"/>
    </xf>
    <xf numFmtId="3" fontId="7" fillId="0" borderId="0" xfId="7" applyNumberFormat="1" applyFont="1" applyBorder="1" applyProtection="1">
      <protection locked="0"/>
    </xf>
    <xf numFmtId="3" fontId="7" fillId="0" borderId="1" xfId="7" applyNumberFormat="1" applyFont="1" applyBorder="1"/>
    <xf numFmtId="3" fontId="7" fillId="0" borderId="2" xfId="7" applyNumberFormat="1" applyFont="1" applyBorder="1"/>
    <xf numFmtId="3" fontId="7" fillId="0" borderId="0" xfId="7" applyNumberFormat="1" applyFont="1" applyBorder="1"/>
    <xf numFmtId="3" fontId="7" fillId="0" borderId="1" xfId="5" applyNumberFormat="1" applyFont="1" applyBorder="1"/>
    <xf numFmtId="164" fontId="7" fillId="0" borderId="0" xfId="9" applyFont="1" applyAlignment="1">
      <alignment horizontal="left"/>
    </xf>
    <xf numFmtId="164" fontId="7" fillId="0" borderId="0" xfId="17" applyFont="1" applyAlignment="1" applyProtection="1">
      <alignment horizontal="left"/>
      <protection locked="0"/>
    </xf>
    <xf numFmtId="164" fontId="7" fillId="0" borderId="0" xfId="17" applyFont="1"/>
    <xf numFmtId="3" fontId="7" fillId="0" borderId="0" xfId="17" applyNumberFormat="1" applyFont="1" applyProtection="1">
      <protection locked="0"/>
    </xf>
    <xf numFmtId="3" fontId="7" fillId="0" borderId="0" xfId="17" applyNumberFormat="1" applyFont="1"/>
    <xf numFmtId="3" fontId="7" fillId="0" borderId="1" xfId="17" applyNumberFormat="1" applyFont="1" applyBorder="1" applyProtection="1">
      <protection locked="0"/>
    </xf>
    <xf numFmtId="3" fontId="7" fillId="0" borderId="2" xfId="17" applyNumberFormat="1" applyFont="1" applyBorder="1" applyProtection="1">
      <protection locked="0"/>
    </xf>
    <xf numFmtId="3" fontId="7" fillId="0" borderId="0" xfId="17" applyNumberFormat="1" applyFont="1" applyBorder="1"/>
    <xf numFmtId="3" fontId="7" fillId="0" borderId="1" xfId="17" applyNumberFormat="1" applyFont="1" applyBorder="1"/>
    <xf numFmtId="3" fontId="7" fillId="0" borderId="2" xfId="17" applyNumberFormat="1" applyFont="1" applyBorder="1"/>
    <xf numFmtId="166" fontId="7" fillId="0" borderId="0" xfId="17" applyNumberFormat="1" applyFont="1" applyAlignment="1" applyProtection="1">
      <alignment horizontal="left"/>
      <protection locked="0"/>
    </xf>
    <xf numFmtId="166" fontId="7" fillId="0" borderId="0" xfId="17" applyNumberFormat="1" applyFont="1" applyProtection="1">
      <protection locked="0"/>
    </xf>
    <xf numFmtId="167" fontId="7" fillId="0" borderId="0" xfId="18" applyNumberFormat="1" applyFont="1" applyAlignment="1" applyProtection="1">
      <alignment horizontal="left"/>
      <protection locked="0"/>
    </xf>
    <xf numFmtId="167" fontId="7" fillId="0" borderId="0" xfId="18" applyNumberFormat="1" applyFont="1" applyAlignment="1">
      <alignment horizontal="left"/>
    </xf>
    <xf numFmtId="164" fontId="7" fillId="0" borderId="0" xfId="19" applyFont="1" applyAlignment="1" applyProtection="1">
      <alignment horizontal="left"/>
      <protection locked="0"/>
    </xf>
    <xf numFmtId="164" fontId="7" fillId="0" borderId="0" xfId="19" applyFont="1"/>
    <xf numFmtId="164" fontId="7" fillId="0" borderId="0" xfId="19" applyFont="1" applyAlignment="1" applyProtection="1">
      <alignment horizontal="right"/>
      <protection locked="0"/>
    </xf>
    <xf numFmtId="3" fontId="7" fillId="0" borderId="0" xfId="19" applyNumberFormat="1" applyFont="1" applyProtection="1">
      <protection locked="0"/>
    </xf>
    <xf numFmtId="3" fontId="7" fillId="0" borderId="1" xfId="19" applyNumberFormat="1" applyFont="1" applyBorder="1" applyProtection="1">
      <protection locked="0"/>
    </xf>
    <xf numFmtId="3" fontId="7" fillId="0" borderId="0" xfId="19" applyNumberFormat="1" applyFont="1"/>
    <xf numFmtId="3" fontId="7" fillId="0" borderId="2" xfId="19" applyNumberFormat="1" applyFont="1" applyBorder="1" applyProtection="1">
      <protection locked="0"/>
    </xf>
    <xf numFmtId="167" fontId="7" fillId="0" borderId="0" xfId="19" applyNumberFormat="1" applyFont="1" applyAlignment="1">
      <alignment horizontal="left"/>
    </xf>
    <xf numFmtId="164" fontId="7" fillId="0" borderId="0" xfId="20" applyFont="1" applyAlignment="1" applyProtection="1">
      <alignment horizontal="left"/>
      <protection locked="0"/>
    </xf>
    <xf numFmtId="164" fontId="7" fillId="0" borderId="0" xfId="20" applyFont="1"/>
    <xf numFmtId="164" fontId="7" fillId="0" borderId="0" xfId="20" applyFont="1" applyAlignment="1" applyProtection="1">
      <alignment horizontal="right"/>
      <protection locked="0"/>
    </xf>
    <xf numFmtId="3" fontId="7" fillId="0" borderId="0" xfId="20" applyNumberFormat="1" applyFont="1" applyProtection="1">
      <protection locked="0"/>
    </xf>
    <xf numFmtId="3" fontId="7" fillId="0" borderId="1" xfId="20" applyNumberFormat="1" applyFont="1" applyBorder="1" applyProtection="1">
      <protection locked="0"/>
    </xf>
    <xf numFmtId="3" fontId="7" fillId="0" borderId="0" xfId="20" applyNumberFormat="1" applyFont="1"/>
    <xf numFmtId="165" fontId="7" fillId="0" borderId="0" xfId="20" applyNumberFormat="1" applyFont="1" applyAlignment="1" applyProtection="1">
      <alignment horizontal="left"/>
      <protection locked="0"/>
    </xf>
    <xf numFmtId="3" fontId="7" fillId="0" borderId="0" xfId="20" applyNumberFormat="1" applyFont="1" applyBorder="1" applyProtection="1">
      <protection locked="0"/>
    </xf>
    <xf numFmtId="164" fontId="7" fillId="0" borderId="0" xfId="21" applyFont="1" applyAlignment="1" applyProtection="1">
      <alignment horizontal="left"/>
      <protection locked="0"/>
    </xf>
    <xf numFmtId="164" fontId="7" fillId="0" borderId="0" xfId="20" applyFont="1" applyProtection="1">
      <protection locked="0"/>
    </xf>
    <xf numFmtId="167" fontId="7" fillId="0" borderId="0" xfId="20" applyNumberFormat="1" applyFont="1" applyAlignment="1">
      <alignment horizontal="left"/>
    </xf>
    <xf numFmtId="164" fontId="7" fillId="0" borderId="0" xfId="22" applyFont="1" applyAlignment="1" applyProtection="1">
      <alignment horizontal="left"/>
      <protection locked="0"/>
    </xf>
    <xf numFmtId="164" fontId="7" fillId="0" borderId="0" xfId="22" applyFont="1"/>
    <xf numFmtId="164" fontId="7" fillId="0" borderId="0" xfId="22" applyFont="1" applyAlignment="1" applyProtection="1">
      <alignment horizontal="right"/>
      <protection locked="0"/>
    </xf>
    <xf numFmtId="3" fontId="7" fillId="0" borderId="0" xfId="22" applyNumberFormat="1" applyFont="1" applyProtection="1">
      <protection locked="0"/>
    </xf>
    <xf numFmtId="165" fontId="7" fillId="0" borderId="0" xfId="22" applyNumberFormat="1" applyFont="1" applyAlignment="1" applyProtection="1">
      <alignment horizontal="left"/>
      <protection locked="0"/>
    </xf>
    <xf numFmtId="3" fontId="7" fillId="0" borderId="1" xfId="22" applyNumberFormat="1" applyFont="1" applyBorder="1" applyProtection="1">
      <protection locked="0"/>
    </xf>
    <xf numFmtId="3" fontId="7" fillId="0" borderId="2" xfId="22" applyNumberFormat="1" applyFont="1" applyBorder="1" applyProtection="1">
      <protection locked="0"/>
    </xf>
    <xf numFmtId="3" fontId="7" fillId="0" borderId="0" xfId="22" applyNumberFormat="1" applyFont="1" applyBorder="1"/>
    <xf numFmtId="3" fontId="7" fillId="0" borderId="0" xfId="22" applyNumberFormat="1" applyFont="1"/>
    <xf numFmtId="3" fontId="7" fillId="0" borderId="1" xfId="22" applyNumberFormat="1" applyFont="1" applyBorder="1"/>
    <xf numFmtId="3" fontId="7" fillId="0" borderId="2" xfId="22" applyNumberFormat="1" applyFont="1" applyBorder="1"/>
    <xf numFmtId="166" fontId="7" fillId="0" borderId="0" xfId="22" applyNumberFormat="1" applyFont="1" applyProtection="1">
      <protection locked="0"/>
    </xf>
    <xf numFmtId="164" fontId="7" fillId="0" borderId="0" xfId="23" applyFont="1" applyAlignment="1" applyProtection="1">
      <alignment horizontal="right"/>
      <protection locked="0"/>
    </xf>
    <xf numFmtId="164" fontId="7" fillId="0" borderId="0" xfId="23" applyFont="1"/>
    <xf numFmtId="167" fontId="7" fillId="0" borderId="0" xfId="22" applyNumberFormat="1" applyFont="1" applyAlignment="1" applyProtection="1">
      <alignment horizontal="left"/>
      <protection locked="0"/>
    </xf>
    <xf numFmtId="164" fontId="7" fillId="0" borderId="0" xfId="22" applyFont="1" applyProtection="1">
      <protection locked="0"/>
    </xf>
    <xf numFmtId="167" fontId="7" fillId="0" borderId="0" xfId="22" applyNumberFormat="1" applyFont="1" applyAlignment="1">
      <alignment horizontal="left"/>
    </xf>
    <xf numFmtId="164" fontId="7" fillId="0" borderId="0" xfId="21" applyFont="1"/>
    <xf numFmtId="164" fontId="7" fillId="0" borderId="0" xfId="21" applyFont="1" applyAlignment="1" applyProtection="1">
      <alignment horizontal="right"/>
      <protection locked="0"/>
    </xf>
    <xf numFmtId="3" fontId="7" fillId="0" borderId="0" xfId="21" applyNumberFormat="1" applyFont="1" applyProtection="1">
      <protection locked="0"/>
    </xf>
    <xf numFmtId="3" fontId="7" fillId="0" borderId="0" xfId="21" applyNumberFormat="1" applyFont="1"/>
    <xf numFmtId="165" fontId="7" fillId="0" borderId="0" xfId="21" applyNumberFormat="1" applyFont="1" applyAlignment="1" applyProtection="1">
      <alignment horizontal="left"/>
      <protection locked="0"/>
    </xf>
    <xf numFmtId="3" fontId="7" fillId="0" borderId="2" xfId="21" applyNumberFormat="1" applyFont="1" applyBorder="1" applyProtection="1">
      <protection locked="0"/>
    </xf>
    <xf numFmtId="3" fontId="7" fillId="0" borderId="1" xfId="21" applyNumberFormat="1" applyFont="1" applyBorder="1" applyProtection="1">
      <protection locked="0"/>
    </xf>
    <xf numFmtId="166" fontId="7" fillId="0" borderId="0" xfId="21" applyNumberFormat="1" applyFont="1" applyAlignment="1" applyProtection="1">
      <alignment horizontal="left"/>
      <protection locked="0"/>
    </xf>
    <xf numFmtId="167" fontId="7" fillId="0" borderId="0" xfId="21" applyNumberFormat="1" applyFont="1" applyAlignment="1">
      <alignment horizontal="left"/>
    </xf>
    <xf numFmtId="164" fontId="7" fillId="0" borderId="0" xfId="21" applyFont="1" applyProtection="1">
      <protection locked="0"/>
    </xf>
    <xf numFmtId="3" fontId="7" fillId="0" borderId="0" xfId="17" applyNumberFormat="1" applyFont="1" applyBorder="1" applyProtection="1">
      <protection locked="0"/>
    </xf>
    <xf numFmtId="165" fontId="7" fillId="0" borderId="0" xfId="17" applyNumberFormat="1" applyFont="1" applyAlignment="1" applyProtection="1">
      <alignment horizontal="left"/>
      <protection locked="0"/>
    </xf>
    <xf numFmtId="164" fontId="7" fillId="0" borderId="0" xfId="17" quotePrefix="1" applyFont="1" applyAlignment="1" applyProtection="1">
      <alignment horizontal="left"/>
      <protection locked="0"/>
    </xf>
    <xf numFmtId="167" fontId="7" fillId="0" borderId="0" xfId="17" applyNumberFormat="1" applyFont="1" applyAlignment="1" applyProtection="1">
      <alignment horizontal="left"/>
      <protection locked="0"/>
    </xf>
    <xf numFmtId="167" fontId="7" fillId="0" borderId="0" xfId="17" applyNumberFormat="1" applyFont="1" applyAlignment="1">
      <alignment horizontal="left"/>
    </xf>
    <xf numFmtId="164" fontId="7" fillId="0" borderId="0" xfId="17" applyFont="1" applyProtection="1">
      <protection locked="0"/>
    </xf>
    <xf numFmtId="3" fontId="10" fillId="0" borderId="0" xfId="10" applyNumberFormat="1" applyFont="1"/>
    <xf numFmtId="164" fontId="7" fillId="0" borderId="0" xfId="24" applyFont="1" applyAlignment="1" applyProtection="1">
      <alignment horizontal="left"/>
      <protection locked="0"/>
    </xf>
    <xf numFmtId="164" fontId="7" fillId="0" borderId="0" xfId="24" applyFont="1"/>
    <xf numFmtId="164" fontId="7" fillId="0" borderId="0" xfId="24" applyFont="1" applyAlignment="1" applyProtection="1">
      <alignment horizontal="right"/>
      <protection locked="0"/>
    </xf>
    <xf numFmtId="3" fontId="7" fillId="0" borderId="0" xfId="24" applyNumberFormat="1" applyFont="1" applyProtection="1">
      <protection locked="0"/>
    </xf>
    <xf numFmtId="3" fontId="7" fillId="0" borderId="1" xfId="24" applyNumberFormat="1" applyFont="1" applyBorder="1" applyProtection="1">
      <protection locked="0"/>
    </xf>
    <xf numFmtId="3" fontId="7" fillId="0" borderId="0" xfId="24" applyNumberFormat="1" applyFont="1"/>
    <xf numFmtId="165" fontId="7" fillId="0" borderId="0" xfId="24" applyNumberFormat="1" applyFont="1" applyAlignment="1" applyProtection="1">
      <protection locked="0"/>
    </xf>
    <xf numFmtId="3" fontId="7" fillId="0" borderId="0" xfId="24" applyNumberFormat="1" applyFont="1" applyBorder="1" applyProtection="1">
      <protection locked="0"/>
    </xf>
    <xf numFmtId="3" fontId="7" fillId="0" borderId="2" xfId="24" applyNumberFormat="1" applyFont="1" applyBorder="1" applyProtection="1">
      <protection locked="0"/>
    </xf>
    <xf numFmtId="164" fontId="7" fillId="0" borderId="0" xfId="24" applyFont="1" applyBorder="1" applyAlignment="1" applyProtection="1">
      <alignment horizontal="left"/>
      <protection locked="0"/>
    </xf>
    <xf numFmtId="167" fontId="7" fillId="0" borderId="0" xfId="24" applyNumberFormat="1" applyFont="1" applyAlignment="1" applyProtection="1">
      <alignment horizontal="left"/>
      <protection locked="0"/>
    </xf>
    <xf numFmtId="164" fontId="7" fillId="0" borderId="0" xfId="24" applyFont="1" applyProtection="1">
      <protection locked="0"/>
    </xf>
    <xf numFmtId="164" fontId="8" fillId="0" borderId="0" xfId="25" applyFont="1" applyAlignment="1" applyProtection="1">
      <alignment horizontal="left"/>
      <protection locked="0"/>
    </xf>
    <xf numFmtId="164" fontId="8" fillId="0" borderId="0" xfId="25" applyFont="1"/>
    <xf numFmtId="164" fontId="8" fillId="0" borderId="0" xfId="25" applyFont="1" applyAlignment="1" applyProtection="1">
      <alignment horizontal="right"/>
      <protection locked="0"/>
    </xf>
    <xf numFmtId="164" fontId="7" fillId="0" borderId="0" xfId="25" applyFont="1"/>
    <xf numFmtId="3" fontId="8" fillId="0" borderId="0" xfId="25" applyNumberFormat="1" applyFont="1" applyProtection="1">
      <protection locked="0"/>
    </xf>
    <xf numFmtId="3" fontId="8" fillId="0" borderId="1" xfId="25" applyNumberFormat="1" applyFont="1" applyBorder="1" applyProtection="1">
      <protection locked="0"/>
    </xf>
    <xf numFmtId="3" fontId="8" fillId="0" borderId="0" xfId="25" applyNumberFormat="1" applyFont="1"/>
    <xf numFmtId="165" fontId="8" fillId="0" borderId="0" xfId="25" applyNumberFormat="1" applyFont="1" applyAlignment="1" applyProtection="1">
      <alignment horizontal="left"/>
      <protection locked="0"/>
    </xf>
    <xf numFmtId="3" fontId="8" fillId="0" borderId="0" xfId="25" applyNumberFormat="1" applyFont="1" applyBorder="1"/>
    <xf numFmtId="3" fontId="8" fillId="0" borderId="1" xfId="25" applyNumberFormat="1" applyFont="1" applyBorder="1"/>
    <xf numFmtId="164" fontId="7" fillId="0" borderId="0" xfId="26" applyFont="1" applyAlignment="1" applyProtection="1">
      <alignment horizontal="left"/>
      <protection locked="0"/>
    </xf>
    <xf numFmtId="164" fontId="7" fillId="0" borderId="0" xfId="27" applyFont="1"/>
    <xf numFmtId="3" fontId="8" fillId="0" borderId="0" xfId="25" applyNumberFormat="1" applyFont="1" applyBorder="1" applyProtection="1">
      <protection locked="0"/>
    </xf>
    <xf numFmtId="164" fontId="8" fillId="0" borderId="0" xfId="25" applyFont="1" applyProtection="1">
      <protection locked="0"/>
    </xf>
    <xf numFmtId="167" fontId="8" fillId="0" borderId="0" xfId="13" applyNumberFormat="1" applyFont="1" applyAlignment="1" applyProtection="1">
      <alignment horizontal="left"/>
      <protection locked="0"/>
    </xf>
    <xf numFmtId="164" fontId="8" fillId="0" borderId="0" xfId="13" applyFont="1" applyAlignment="1" applyProtection="1">
      <alignment horizontal="left"/>
      <protection locked="0"/>
    </xf>
    <xf numFmtId="164" fontId="8" fillId="0" borderId="0" xfId="13" applyFont="1" applyAlignment="1" applyProtection="1">
      <alignment horizontal="right"/>
      <protection locked="0"/>
    </xf>
    <xf numFmtId="164" fontId="7" fillId="0" borderId="0" xfId="13" applyFont="1"/>
    <xf numFmtId="3" fontId="8" fillId="0" borderId="0" xfId="13" applyNumberFormat="1" applyFont="1" applyProtection="1">
      <protection locked="0"/>
    </xf>
    <xf numFmtId="3" fontId="8" fillId="0" borderId="0" xfId="13" applyNumberFormat="1" applyFont="1"/>
    <xf numFmtId="165" fontId="8" fillId="0" borderId="0" xfId="13" applyNumberFormat="1" applyFont="1" applyAlignment="1" applyProtection="1">
      <alignment horizontal="left"/>
      <protection locked="0"/>
    </xf>
    <xf numFmtId="3" fontId="8" fillId="0" borderId="0" xfId="13" applyNumberFormat="1" applyFont="1" applyBorder="1" applyProtection="1">
      <protection locked="0"/>
    </xf>
    <xf numFmtId="3" fontId="8" fillId="0" borderId="1" xfId="13" applyNumberFormat="1" applyFont="1" applyBorder="1" applyProtection="1">
      <protection locked="0"/>
    </xf>
    <xf numFmtId="166" fontId="8" fillId="0" borderId="0" xfId="13" applyNumberFormat="1" applyFont="1" applyProtection="1">
      <protection locked="0"/>
    </xf>
    <xf numFmtId="164" fontId="7" fillId="0" borderId="0" xfId="2" applyFont="1" applyAlignment="1" applyProtection="1">
      <protection locked="0"/>
    </xf>
    <xf numFmtId="164" fontId="8" fillId="0" borderId="0" xfId="13" applyFont="1" applyProtection="1">
      <protection locked="0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0" xfId="13" applyNumberFormat="1" applyFont="1"/>
    <xf numFmtId="164" fontId="7" fillId="0" borderId="0" xfId="28" applyFont="1"/>
    <xf numFmtId="164" fontId="7" fillId="0" borderId="0" xfId="26" applyFont="1"/>
    <xf numFmtId="164" fontId="7" fillId="0" borderId="0" xfId="26" applyFont="1" applyAlignment="1" applyProtection="1">
      <alignment horizontal="right"/>
      <protection locked="0"/>
    </xf>
    <xf numFmtId="3" fontId="7" fillId="0" borderId="0" xfId="26" applyNumberFormat="1" applyFont="1" applyProtection="1">
      <protection locked="0"/>
    </xf>
    <xf numFmtId="3" fontId="7" fillId="0" borderId="0" xfId="26" applyNumberFormat="1" applyFont="1"/>
    <xf numFmtId="165" fontId="7" fillId="0" borderId="0" xfId="26" applyNumberFormat="1" applyFont="1" applyAlignment="1" applyProtection="1">
      <alignment horizontal="left"/>
      <protection locked="0"/>
    </xf>
    <xf numFmtId="3" fontId="7" fillId="0" borderId="1" xfId="26" applyNumberFormat="1" applyFont="1" applyBorder="1" applyProtection="1">
      <protection locked="0"/>
    </xf>
    <xf numFmtId="3" fontId="7" fillId="0" borderId="0" xfId="26" applyNumberFormat="1" applyFont="1" applyBorder="1" applyProtection="1">
      <protection locked="0"/>
    </xf>
    <xf numFmtId="166" fontId="7" fillId="0" borderId="0" xfId="26" applyNumberFormat="1" applyFont="1" applyProtection="1">
      <protection locked="0"/>
    </xf>
    <xf numFmtId="167" fontId="7" fillId="0" borderId="0" xfId="26" applyNumberFormat="1" applyFont="1" applyAlignment="1" applyProtection="1">
      <alignment horizontal="left"/>
      <protection locked="0"/>
    </xf>
    <xf numFmtId="164" fontId="7" fillId="0" borderId="0" xfId="26" applyFont="1" applyProtection="1">
      <protection locked="0"/>
    </xf>
    <xf numFmtId="0" fontId="8" fillId="0" borderId="0" xfId="29" applyFont="1" applyFill="1" applyBorder="1" applyAlignment="1">
      <alignment wrapText="1"/>
    </xf>
    <xf numFmtId="3" fontId="7" fillId="0" borderId="0" xfId="0" applyNumberFormat="1" applyFont="1" applyBorder="1" applyAlignment="1"/>
    <xf numFmtId="0" fontId="7" fillId="0" borderId="0" xfId="0" applyNumberFormat="1" applyFont="1"/>
    <xf numFmtId="164" fontId="7" fillId="0" borderId="0" xfId="30" applyFont="1" applyAlignment="1" applyProtection="1">
      <alignment horizontal="left"/>
      <protection locked="0"/>
    </xf>
    <xf numFmtId="164" fontId="7" fillId="0" borderId="0" xfId="27" applyFont="1" applyAlignment="1" applyProtection="1">
      <alignment horizontal="left"/>
      <protection locked="0"/>
    </xf>
    <xf numFmtId="164" fontId="7" fillId="0" borderId="0" xfId="27" applyFont="1" applyAlignment="1" applyProtection="1">
      <alignment horizontal="right"/>
      <protection locked="0"/>
    </xf>
    <xf numFmtId="3" fontId="7" fillId="0" borderId="0" xfId="27" applyNumberFormat="1" applyFont="1" applyProtection="1">
      <protection locked="0"/>
    </xf>
    <xf numFmtId="3" fontId="7" fillId="0" borderId="1" xfId="27" applyNumberFormat="1" applyFont="1" applyBorder="1" applyProtection="1">
      <protection locked="0"/>
    </xf>
    <xf numFmtId="3" fontId="7" fillId="0" borderId="2" xfId="27" applyNumberFormat="1" applyFont="1" applyBorder="1" applyProtection="1">
      <protection locked="0"/>
    </xf>
    <xf numFmtId="165" fontId="7" fillId="0" borderId="0" xfId="27" applyNumberFormat="1" applyFont="1" applyAlignment="1" applyProtection="1">
      <alignment horizontal="left"/>
      <protection locked="0"/>
    </xf>
    <xf numFmtId="3" fontId="7" fillId="0" borderId="0" xfId="27" applyNumberFormat="1" applyFont="1"/>
    <xf numFmtId="3" fontId="7" fillId="0" borderId="0" xfId="27" applyNumberFormat="1" applyFont="1" applyBorder="1" applyProtection="1">
      <protection locked="0"/>
    </xf>
    <xf numFmtId="3" fontId="7" fillId="0" borderId="1" xfId="27" applyNumberFormat="1" applyFont="1" applyBorder="1"/>
    <xf numFmtId="166" fontId="7" fillId="0" borderId="0" xfId="27" applyNumberFormat="1" applyFont="1" applyProtection="1">
      <protection locked="0"/>
    </xf>
    <xf numFmtId="167" fontId="7" fillId="0" borderId="0" xfId="27" applyNumberFormat="1" applyFont="1" applyAlignment="1" applyProtection="1">
      <alignment horizontal="left"/>
      <protection locked="0"/>
    </xf>
    <xf numFmtId="3" fontId="7" fillId="0" borderId="0" xfId="27" applyNumberFormat="1" applyFont="1" applyAlignment="1"/>
    <xf numFmtId="164" fontId="7" fillId="0" borderId="0" xfId="27" applyFont="1" applyProtection="1">
      <protection locked="0"/>
    </xf>
    <xf numFmtId="164" fontId="7" fillId="0" borderId="0" xfId="32" applyFont="1" applyAlignment="1" applyProtection="1">
      <alignment horizontal="left"/>
      <protection locked="0"/>
    </xf>
    <xf numFmtId="164" fontId="7" fillId="0" borderId="0" xfId="32" applyFont="1"/>
    <xf numFmtId="3" fontId="7" fillId="0" borderId="0" xfId="32" applyNumberFormat="1" applyFont="1"/>
    <xf numFmtId="3" fontId="7" fillId="0" borderId="0" xfId="32" applyNumberFormat="1" applyFont="1" applyProtection="1">
      <protection locked="0"/>
    </xf>
    <xf numFmtId="3" fontId="7" fillId="0" borderId="0" xfId="32" applyNumberFormat="1" applyFont="1" applyBorder="1" applyProtection="1">
      <protection locked="0"/>
    </xf>
    <xf numFmtId="3" fontId="7" fillId="0" borderId="1" xfId="32" applyNumberFormat="1" applyFont="1" applyBorder="1" applyProtection="1">
      <protection locked="0"/>
    </xf>
    <xf numFmtId="1" fontId="7" fillId="0" borderId="0" xfId="31" applyNumberFormat="1" applyFont="1"/>
    <xf numFmtId="3" fontId="7" fillId="0" borderId="2" xfId="10" applyNumberFormat="1" applyFont="1" applyBorder="1"/>
    <xf numFmtId="3" fontId="7" fillId="0" borderId="1" xfId="32" applyNumberFormat="1" applyFont="1" applyBorder="1"/>
    <xf numFmtId="3" fontId="7" fillId="0" borderId="2" xfId="32" applyNumberFormat="1" applyFont="1" applyBorder="1"/>
    <xf numFmtId="0" fontId="7" fillId="0" borderId="0" xfId="31" quotePrefix="1" applyNumberFormat="1" applyFont="1"/>
    <xf numFmtId="3" fontId="7" fillId="0" borderId="0" xfId="31" applyNumberFormat="1" applyFont="1" applyBorder="1" applyAlignment="1" applyProtection="1">
      <protection locked="0"/>
    </xf>
    <xf numFmtId="164" fontId="7" fillId="0" borderId="0" xfId="32" applyFont="1" applyProtection="1">
      <protection locked="0"/>
    </xf>
    <xf numFmtId="3" fontId="7" fillId="0" borderId="0" xfId="31" applyNumberFormat="1" applyFont="1" applyAlignment="1"/>
    <xf numFmtId="164" fontId="7" fillId="0" borderId="0" xfId="8" applyFont="1" applyAlignment="1" applyProtection="1">
      <alignment horizontal="left"/>
      <protection locked="0"/>
    </xf>
    <xf numFmtId="164" fontId="7" fillId="0" borderId="0" xfId="8" applyFont="1"/>
    <xf numFmtId="164" fontId="7" fillId="0" borderId="0" xfId="8" applyFont="1" applyAlignment="1" applyProtection="1">
      <alignment horizontal="right"/>
      <protection locked="0"/>
    </xf>
    <xf numFmtId="3" fontId="7" fillId="0" borderId="0" xfId="8" applyNumberFormat="1" applyFont="1" applyBorder="1" applyProtection="1">
      <protection locked="0"/>
    </xf>
    <xf numFmtId="3" fontId="7" fillId="0" borderId="1" xfId="8" applyNumberFormat="1" applyFont="1" applyBorder="1" applyProtection="1">
      <protection locked="0"/>
    </xf>
    <xf numFmtId="3" fontId="7" fillId="0" borderId="0" xfId="8" applyNumberFormat="1" applyFont="1"/>
    <xf numFmtId="3" fontId="7" fillId="0" borderId="0" xfId="8" applyNumberFormat="1" applyFont="1" applyProtection="1">
      <protection locked="0"/>
    </xf>
    <xf numFmtId="3" fontId="7" fillId="0" borderId="2" xfId="8" applyNumberFormat="1" applyFont="1" applyBorder="1" applyProtection="1">
      <protection locked="0"/>
    </xf>
    <xf numFmtId="164" fontId="7" fillId="0" borderId="0" xfId="33" applyFont="1" applyAlignment="1" applyProtection="1">
      <alignment horizontal="left"/>
      <protection locked="0"/>
    </xf>
    <xf numFmtId="1" fontId="2" fillId="0" borderId="0" xfId="31" applyNumberFormat="1" applyFont="1"/>
    <xf numFmtId="0" fontId="7" fillId="0" borderId="0" xfId="31" applyFont="1"/>
    <xf numFmtId="164" fontId="7" fillId="0" borderId="0" xfId="18" applyFont="1" applyAlignment="1" applyProtection="1">
      <alignment horizontal="left"/>
      <protection locked="0"/>
    </xf>
    <xf numFmtId="164" fontId="7" fillId="0" borderId="0" xfId="18" applyFont="1"/>
    <xf numFmtId="164" fontId="7" fillId="0" borderId="0" xfId="18" applyFont="1" applyAlignment="1" applyProtection="1">
      <alignment horizontal="right"/>
      <protection locked="0"/>
    </xf>
    <xf numFmtId="3" fontId="7" fillId="0" borderId="0" xfId="18" applyNumberFormat="1" applyFont="1" applyProtection="1">
      <protection locked="0"/>
    </xf>
    <xf numFmtId="3" fontId="7" fillId="0" borderId="0" xfId="18" applyNumberFormat="1" applyFont="1"/>
    <xf numFmtId="3" fontId="7" fillId="0" borderId="0" xfId="18" applyNumberFormat="1" applyFont="1" applyBorder="1" applyProtection="1">
      <protection locked="0"/>
    </xf>
    <xf numFmtId="3" fontId="7" fillId="0" borderId="1" xfId="18" applyNumberFormat="1" applyFont="1" applyBorder="1"/>
    <xf numFmtId="3" fontId="7" fillId="0" borderId="2" xfId="18" applyNumberFormat="1" applyFont="1" applyBorder="1"/>
    <xf numFmtId="166" fontId="7" fillId="0" borderId="0" xfId="18" applyNumberFormat="1" applyFont="1" applyProtection="1">
      <protection locked="0"/>
    </xf>
    <xf numFmtId="3" fontId="7" fillId="0" borderId="0" xfId="31" applyNumberFormat="1" applyFont="1"/>
    <xf numFmtId="164" fontId="7" fillId="0" borderId="0" xfId="33" applyFont="1"/>
    <xf numFmtId="164" fontId="7" fillId="0" borderId="0" xfId="33" applyFont="1" applyAlignment="1" applyProtection="1">
      <alignment horizontal="right"/>
      <protection locked="0"/>
    </xf>
    <xf numFmtId="3" fontId="7" fillId="0" borderId="0" xfId="33" applyNumberFormat="1" applyFont="1" applyProtection="1">
      <protection locked="0"/>
    </xf>
    <xf numFmtId="3" fontId="7" fillId="0" borderId="0" xfId="33" applyNumberFormat="1" applyFont="1"/>
    <xf numFmtId="165" fontId="7" fillId="0" borderId="0" xfId="33" applyNumberFormat="1" applyFont="1" applyAlignment="1" applyProtection="1">
      <alignment horizontal="left"/>
      <protection locked="0"/>
    </xf>
    <xf numFmtId="3" fontId="7" fillId="0" borderId="1" xfId="33" applyNumberFormat="1" applyFont="1" applyBorder="1" applyProtection="1">
      <protection locked="0"/>
    </xf>
    <xf numFmtId="3" fontId="7" fillId="0" borderId="2" xfId="33" applyNumberFormat="1" applyFont="1" applyBorder="1" applyProtection="1">
      <protection locked="0"/>
    </xf>
    <xf numFmtId="3" fontId="7" fillId="0" borderId="0" xfId="33" applyNumberFormat="1" applyFont="1" applyBorder="1" applyProtection="1">
      <protection locked="0"/>
    </xf>
    <xf numFmtId="3" fontId="7" fillId="0" borderId="1" xfId="33" applyNumberFormat="1" applyFont="1" applyBorder="1"/>
    <xf numFmtId="3" fontId="7" fillId="0" borderId="2" xfId="33" applyNumberFormat="1" applyFont="1" applyBorder="1"/>
    <xf numFmtId="166" fontId="7" fillId="0" borderId="0" xfId="33" applyNumberFormat="1" applyFont="1" applyAlignment="1" applyProtection="1">
      <alignment horizontal="left"/>
      <protection locked="0"/>
    </xf>
    <xf numFmtId="166" fontId="7" fillId="0" borderId="0" xfId="33" applyNumberFormat="1" applyFont="1" applyProtection="1">
      <protection locked="0"/>
    </xf>
    <xf numFmtId="164" fontId="7" fillId="0" borderId="0" xfId="33" applyFont="1" applyProtection="1">
      <protection locked="0"/>
    </xf>
    <xf numFmtId="164" fontId="11" fillId="0" borderId="0" xfId="10" applyFont="1"/>
    <xf numFmtId="3" fontId="11" fillId="0" borderId="0" xfId="10" applyNumberFormat="1" applyFont="1"/>
    <xf numFmtId="3" fontId="7" fillId="0" borderId="0" xfId="2" applyNumberFormat="1" applyFont="1" applyProtection="1">
      <protection locked="0"/>
    </xf>
    <xf numFmtId="3" fontId="7" fillId="0" borderId="1" xfId="2" applyNumberFormat="1" applyFont="1" applyBorder="1" applyProtection="1">
      <protection locked="0"/>
    </xf>
    <xf numFmtId="3" fontId="7" fillId="0" borderId="0" xfId="2" applyNumberFormat="1" applyFont="1"/>
    <xf numFmtId="3" fontId="1" fillId="0" borderId="0" xfId="0" applyNumberFormat="1" applyFont="1" applyAlignment="1"/>
    <xf numFmtId="167" fontId="7" fillId="0" borderId="0" xfId="2" applyNumberFormat="1" applyFont="1" applyAlignment="1" applyProtection="1">
      <alignment horizontal="left"/>
      <protection locked="0"/>
    </xf>
    <xf numFmtId="164" fontId="7" fillId="0" borderId="0" xfId="2" applyFont="1" applyProtection="1">
      <protection locked="0"/>
    </xf>
    <xf numFmtId="164" fontId="7" fillId="0" borderId="0" xfId="34" applyFont="1" applyAlignment="1" applyProtection="1">
      <alignment horizontal="left"/>
      <protection locked="0"/>
    </xf>
    <xf numFmtId="164" fontId="7" fillId="0" borderId="0" xfId="34" applyFont="1"/>
    <xf numFmtId="164" fontId="7" fillId="0" borderId="0" xfId="34" applyFont="1" applyAlignment="1" applyProtection="1">
      <alignment horizontal="right"/>
      <protection locked="0"/>
    </xf>
    <xf numFmtId="3" fontId="7" fillId="0" borderId="0" xfId="34" applyNumberFormat="1" applyFont="1" applyProtection="1">
      <protection locked="0"/>
    </xf>
    <xf numFmtId="3" fontId="7" fillId="0" borderId="1" xfId="34" applyNumberFormat="1" applyFont="1" applyBorder="1" applyProtection="1">
      <protection locked="0"/>
    </xf>
    <xf numFmtId="165" fontId="7" fillId="0" borderId="0" xfId="34" applyNumberFormat="1" applyFont="1" applyAlignment="1" applyProtection="1">
      <alignment horizontal="left"/>
      <protection locked="0"/>
    </xf>
    <xf numFmtId="3" fontId="7" fillId="0" borderId="0" xfId="34" applyNumberFormat="1" applyFont="1"/>
    <xf numFmtId="3" fontId="7" fillId="0" borderId="1" xfId="34" applyNumberFormat="1" applyFont="1" applyBorder="1"/>
    <xf numFmtId="3" fontId="7" fillId="0" borderId="0" xfId="34" applyNumberFormat="1" applyFont="1" applyBorder="1" applyProtection="1">
      <protection locked="0"/>
    </xf>
    <xf numFmtId="3" fontId="7" fillId="0" borderId="2" xfId="34" applyNumberFormat="1" applyFont="1" applyBorder="1" applyProtection="1">
      <protection locked="0"/>
    </xf>
    <xf numFmtId="164" fontId="7" fillId="0" borderId="0" xfId="34" applyFont="1" applyProtection="1">
      <protection locked="0"/>
    </xf>
    <xf numFmtId="167" fontId="7" fillId="0" borderId="0" xfId="34" applyNumberFormat="1" applyFont="1" applyAlignment="1">
      <alignment horizontal="left"/>
    </xf>
    <xf numFmtId="164" fontId="7" fillId="0" borderId="0" xfId="35" applyFont="1" applyAlignment="1" applyProtection="1">
      <alignment horizontal="left"/>
      <protection locked="0"/>
    </xf>
    <xf numFmtId="164" fontId="7" fillId="0" borderId="0" xfId="35" applyFont="1"/>
    <xf numFmtId="164" fontId="7" fillId="0" borderId="0" xfId="35" applyFont="1" applyAlignment="1" applyProtection="1">
      <alignment horizontal="right"/>
      <protection locked="0"/>
    </xf>
    <xf numFmtId="3" fontId="7" fillId="0" borderId="0" xfId="35" applyNumberFormat="1" applyFont="1" applyProtection="1">
      <protection locked="0"/>
    </xf>
    <xf numFmtId="3" fontId="7" fillId="0" borderId="1" xfId="35" applyNumberFormat="1" applyFont="1" applyBorder="1" applyProtection="1">
      <protection locked="0"/>
    </xf>
    <xf numFmtId="3" fontId="7" fillId="0" borderId="0" xfId="35" applyNumberFormat="1" applyFont="1"/>
    <xf numFmtId="165" fontId="7" fillId="0" borderId="0" xfId="35" applyNumberFormat="1" applyFont="1" applyAlignment="1" applyProtection="1">
      <alignment horizontal="left"/>
      <protection locked="0"/>
    </xf>
    <xf numFmtId="3" fontId="7" fillId="0" borderId="0" xfId="35" applyNumberFormat="1" applyFont="1" applyBorder="1" applyProtection="1">
      <protection locked="0"/>
    </xf>
    <xf numFmtId="3" fontId="7" fillId="0" borderId="2" xfId="35" applyNumberFormat="1" applyFont="1" applyBorder="1" applyProtection="1">
      <protection locked="0"/>
    </xf>
    <xf numFmtId="164" fontId="7" fillId="0" borderId="0" xfId="35" applyFont="1" applyAlignment="1">
      <alignment horizontal="left"/>
    </xf>
    <xf numFmtId="166" fontId="7" fillId="0" borderId="0" xfId="35" applyNumberFormat="1" applyFont="1" applyProtection="1">
      <protection locked="0"/>
    </xf>
    <xf numFmtId="166" fontId="7" fillId="0" borderId="0" xfId="35" applyNumberFormat="1" applyFont="1" applyAlignment="1" applyProtection="1">
      <alignment horizontal="left"/>
      <protection locked="0"/>
    </xf>
    <xf numFmtId="167" fontId="7" fillId="0" borderId="0" xfId="35" applyNumberFormat="1" applyFont="1" applyAlignment="1">
      <alignment horizontal="left"/>
    </xf>
    <xf numFmtId="167" fontId="7" fillId="0" borderId="0" xfId="35" applyNumberFormat="1" applyFont="1" applyAlignment="1" applyProtection="1">
      <alignment horizontal="left"/>
      <protection locked="0"/>
    </xf>
    <xf numFmtId="164" fontId="7" fillId="0" borderId="0" xfId="35" applyFont="1" applyProtection="1">
      <protection locked="0"/>
    </xf>
    <xf numFmtId="164" fontId="7" fillId="0" borderId="0" xfId="36" applyFont="1"/>
    <xf numFmtId="3" fontId="8" fillId="0" borderId="0" xfId="12" applyNumberFormat="1" applyFont="1" applyProtection="1">
      <protection locked="0"/>
    </xf>
    <xf numFmtId="3" fontId="8" fillId="0" borderId="0" xfId="12" applyNumberFormat="1" applyFont="1"/>
    <xf numFmtId="165" fontId="8" fillId="0" borderId="0" xfId="12" applyNumberFormat="1" applyFont="1" applyAlignment="1" applyProtection="1">
      <alignment horizontal="left"/>
      <protection locked="0"/>
    </xf>
    <xf numFmtId="3" fontId="8" fillId="0" borderId="1" xfId="12" applyNumberFormat="1" applyFont="1" applyBorder="1" applyProtection="1">
      <protection locked="0"/>
    </xf>
    <xf numFmtId="3" fontId="8" fillId="0" borderId="0" xfId="12" applyNumberFormat="1" applyFont="1" applyBorder="1" applyProtection="1">
      <protection locked="0"/>
    </xf>
    <xf numFmtId="166" fontId="8" fillId="0" borderId="0" xfId="12" applyNumberFormat="1" applyFont="1" applyAlignment="1" applyProtection="1">
      <alignment horizontal="left"/>
      <protection locked="0"/>
    </xf>
    <xf numFmtId="166" fontId="8" fillId="0" borderId="0" xfId="12" applyNumberFormat="1" applyFont="1" applyProtection="1">
      <protection locked="0"/>
    </xf>
    <xf numFmtId="167" fontId="8" fillId="0" borderId="0" xfId="12" applyNumberFormat="1" applyFont="1" applyAlignment="1" applyProtection="1">
      <alignment horizontal="left"/>
      <protection locked="0"/>
    </xf>
    <xf numFmtId="164" fontId="8" fillId="0" borderId="0" xfId="12" applyFont="1" applyProtection="1">
      <protection locked="0"/>
    </xf>
    <xf numFmtId="0" fontId="14" fillId="0" borderId="0" xfId="0" applyFont="1"/>
    <xf numFmtId="164" fontId="8" fillId="0" borderId="0" xfId="28" applyFont="1"/>
    <xf numFmtId="164" fontId="7" fillId="0" borderId="0" xfId="30" applyFont="1"/>
    <xf numFmtId="164" fontId="7" fillId="0" borderId="0" xfId="30" applyFont="1" applyAlignment="1" applyProtection="1">
      <alignment horizontal="right"/>
      <protection locked="0"/>
    </xf>
    <xf numFmtId="3" fontId="7" fillId="0" borderId="0" xfId="30" applyNumberFormat="1" applyFont="1" applyProtection="1">
      <protection locked="0"/>
    </xf>
    <xf numFmtId="3" fontId="7" fillId="0" borderId="0" xfId="30" applyNumberFormat="1" applyFont="1"/>
    <xf numFmtId="165" fontId="7" fillId="0" borderId="0" xfId="30" applyNumberFormat="1" applyFont="1" applyAlignment="1" applyProtection="1">
      <alignment horizontal="left"/>
      <protection locked="0"/>
    </xf>
    <xf numFmtId="3" fontId="7" fillId="0" borderId="1" xfId="30" applyNumberFormat="1" applyFont="1" applyBorder="1"/>
    <xf numFmtId="3" fontId="7" fillId="0" borderId="2" xfId="30" applyNumberFormat="1" applyFont="1" applyBorder="1"/>
    <xf numFmtId="3" fontId="7" fillId="0" borderId="1" xfId="30" applyNumberFormat="1" applyFont="1" applyBorder="1" applyProtection="1">
      <protection locked="0"/>
    </xf>
    <xf numFmtId="166" fontId="7" fillId="0" borderId="0" xfId="30" applyNumberFormat="1" applyFont="1" applyProtection="1">
      <protection locked="0"/>
    </xf>
    <xf numFmtId="164" fontId="7" fillId="0" borderId="0" xfId="30" applyFont="1" applyProtection="1">
      <protection locked="0"/>
    </xf>
    <xf numFmtId="167" fontId="7" fillId="0" borderId="0" xfId="30" applyNumberFormat="1" applyFont="1" applyAlignment="1">
      <alignment horizontal="left"/>
    </xf>
    <xf numFmtId="164" fontId="7" fillId="0" borderId="0" xfId="37" applyFont="1" applyAlignment="1" applyProtection="1">
      <alignment horizontal="left"/>
      <protection locked="0"/>
    </xf>
    <xf numFmtId="164" fontId="7" fillId="0" borderId="0" xfId="37" applyFont="1"/>
    <xf numFmtId="164" fontId="7" fillId="0" borderId="0" xfId="37" applyFont="1" applyAlignment="1" applyProtection="1">
      <alignment horizontal="right"/>
      <protection locked="0"/>
    </xf>
    <xf numFmtId="3" fontId="7" fillId="0" borderId="0" xfId="37" applyNumberFormat="1" applyFont="1" applyProtection="1">
      <protection locked="0"/>
    </xf>
    <xf numFmtId="3" fontId="7" fillId="0" borderId="0" xfId="37" applyNumberFormat="1" applyFont="1"/>
    <xf numFmtId="165" fontId="7" fillId="0" borderId="0" xfId="37" applyNumberFormat="1" applyFont="1" applyAlignment="1" applyProtection="1">
      <alignment horizontal="left"/>
      <protection locked="0"/>
    </xf>
    <xf numFmtId="3" fontId="7" fillId="0" borderId="1" xfId="37" applyNumberFormat="1" applyFont="1" applyBorder="1" applyProtection="1">
      <protection locked="0"/>
    </xf>
    <xf numFmtId="164" fontId="7" fillId="0" borderId="0" xfId="37" applyFont="1" applyBorder="1"/>
    <xf numFmtId="166" fontId="7" fillId="0" borderId="0" xfId="37" applyNumberFormat="1" applyFont="1" applyProtection="1">
      <protection locked="0"/>
    </xf>
    <xf numFmtId="164" fontId="7" fillId="0" borderId="0" xfId="37" applyFont="1" applyProtection="1">
      <protection locked="0"/>
    </xf>
    <xf numFmtId="167" fontId="7" fillId="0" borderId="0" xfId="37" applyNumberFormat="1" applyFont="1" applyAlignment="1" applyProtection="1">
      <alignment horizontal="left"/>
      <protection locked="0"/>
    </xf>
    <xf numFmtId="164" fontId="10" fillId="0" borderId="0" xfId="10" applyFont="1" applyProtection="1">
      <protection locked="0"/>
    </xf>
    <xf numFmtId="3" fontId="7" fillId="0" borderId="0" xfId="9" applyNumberFormat="1" applyFont="1" applyAlignment="1" applyProtection="1">
      <protection locked="0"/>
    </xf>
    <xf numFmtId="164" fontId="7" fillId="0" borderId="0" xfId="38" applyFont="1" applyAlignment="1" applyProtection="1">
      <alignment horizontal="left"/>
      <protection locked="0"/>
    </xf>
    <xf numFmtId="164" fontId="7" fillId="0" borderId="0" xfId="38" applyFont="1"/>
    <xf numFmtId="164" fontId="7" fillId="0" borderId="0" xfId="38" applyFont="1" applyAlignment="1" applyProtection="1">
      <alignment horizontal="right"/>
      <protection locked="0"/>
    </xf>
    <xf numFmtId="3" fontId="7" fillId="0" borderId="0" xfId="38" applyNumberFormat="1" applyFont="1" applyProtection="1">
      <protection locked="0"/>
    </xf>
    <xf numFmtId="165" fontId="7" fillId="0" borderId="0" xfId="38" applyNumberFormat="1" applyFont="1" applyAlignment="1" applyProtection="1">
      <alignment horizontal="left"/>
      <protection locked="0"/>
    </xf>
    <xf numFmtId="3" fontId="7" fillId="0" borderId="1" xfId="38" applyNumberFormat="1" applyFont="1" applyBorder="1" applyProtection="1">
      <protection locked="0"/>
    </xf>
    <xf numFmtId="3" fontId="7" fillId="0" borderId="2" xfId="38" applyNumberFormat="1" applyFont="1" applyBorder="1" applyProtection="1">
      <protection locked="0"/>
    </xf>
    <xf numFmtId="3" fontId="7" fillId="0" borderId="0" xfId="38" applyNumberFormat="1" applyFont="1"/>
    <xf numFmtId="3" fontId="7" fillId="0" borderId="1" xfId="38" applyNumberFormat="1" applyFont="1" applyBorder="1"/>
    <xf numFmtId="3" fontId="7" fillId="0" borderId="2" xfId="38" applyNumberFormat="1" applyFont="1" applyBorder="1"/>
    <xf numFmtId="3" fontId="7" fillId="0" borderId="0" xfId="38" applyNumberFormat="1" applyFont="1" applyBorder="1"/>
    <xf numFmtId="167" fontId="7" fillId="0" borderId="0" xfId="38" applyNumberFormat="1" applyFont="1" applyAlignment="1" applyProtection="1">
      <alignment horizontal="left"/>
      <protection locked="0"/>
    </xf>
    <xf numFmtId="164" fontId="7" fillId="0" borderId="0" xfId="39" applyFont="1" applyAlignment="1" applyProtection="1">
      <alignment horizontal="left"/>
      <protection locked="0"/>
    </xf>
    <xf numFmtId="164" fontId="7" fillId="0" borderId="0" xfId="39" applyFont="1"/>
    <xf numFmtId="3" fontId="7" fillId="0" borderId="0" xfId="39" applyNumberFormat="1" applyFont="1" applyProtection="1">
      <protection locked="0"/>
    </xf>
    <xf numFmtId="3" fontId="7" fillId="0" borderId="1" xfId="39" applyNumberFormat="1" applyFont="1" applyBorder="1" applyProtection="1">
      <protection locked="0"/>
    </xf>
    <xf numFmtId="3" fontId="7" fillId="0" borderId="2" xfId="39" applyNumberFormat="1" applyFont="1" applyBorder="1" applyProtection="1">
      <protection locked="0"/>
    </xf>
    <xf numFmtId="164" fontId="7" fillId="0" borderId="0" xfId="40" applyFont="1" applyAlignment="1" applyProtection="1">
      <alignment horizontal="left"/>
      <protection locked="0"/>
    </xf>
    <xf numFmtId="3" fontId="7" fillId="0" borderId="0" xfId="39" applyNumberFormat="1" applyFont="1"/>
    <xf numFmtId="167" fontId="7" fillId="0" borderId="0" xfId="39" applyNumberFormat="1" applyFont="1" applyAlignment="1" applyProtection="1">
      <alignment horizontal="left"/>
      <protection locked="0"/>
    </xf>
    <xf numFmtId="164" fontId="7" fillId="0" borderId="0" xfId="41" applyFont="1" applyAlignment="1" applyProtection="1">
      <alignment horizontal="left"/>
      <protection locked="0"/>
    </xf>
    <xf numFmtId="164" fontId="7" fillId="0" borderId="0" xfId="41" applyFont="1"/>
    <xf numFmtId="164" fontId="7" fillId="0" borderId="0" xfId="41" applyFont="1" applyAlignment="1" applyProtection="1">
      <alignment horizontal="right"/>
      <protection locked="0"/>
    </xf>
    <xf numFmtId="3" fontId="7" fillId="0" borderId="0" xfId="41" applyNumberFormat="1" applyFont="1" applyProtection="1">
      <protection locked="0"/>
    </xf>
    <xf numFmtId="165" fontId="7" fillId="0" borderId="0" xfId="41" applyNumberFormat="1" applyFont="1" applyAlignment="1" applyProtection="1">
      <alignment horizontal="left"/>
      <protection locked="0"/>
    </xf>
    <xf numFmtId="3" fontId="7" fillId="0" borderId="0" xfId="41" applyNumberFormat="1" applyFont="1"/>
    <xf numFmtId="3" fontId="7" fillId="0" borderId="1" xfId="41" applyNumberFormat="1" applyFont="1" applyBorder="1" applyProtection="1">
      <protection locked="0"/>
    </xf>
    <xf numFmtId="3" fontId="7" fillId="0" borderId="2" xfId="41" applyNumberFormat="1" applyFont="1" applyBorder="1" applyProtection="1">
      <protection locked="0"/>
    </xf>
    <xf numFmtId="164" fontId="7" fillId="0" borderId="0" xfId="42" applyFont="1" applyAlignment="1" applyProtection="1">
      <alignment horizontal="left"/>
      <protection locked="0"/>
    </xf>
    <xf numFmtId="164" fontId="7" fillId="0" borderId="0" xfId="42" applyFont="1"/>
    <xf numFmtId="164" fontId="7" fillId="0" borderId="0" xfId="42" applyFont="1" applyProtection="1">
      <protection locked="0"/>
    </xf>
    <xf numFmtId="3" fontId="7" fillId="0" borderId="0" xfId="42" applyNumberFormat="1" applyFont="1" applyProtection="1">
      <protection locked="0"/>
    </xf>
    <xf numFmtId="3" fontId="7" fillId="0" borderId="2" xfId="42" applyNumberFormat="1" applyFont="1" applyBorder="1" applyProtection="1">
      <protection locked="0"/>
    </xf>
    <xf numFmtId="3" fontId="7" fillId="0" borderId="0" xfId="42" applyNumberFormat="1" applyFont="1" applyBorder="1" applyProtection="1">
      <protection locked="0"/>
    </xf>
    <xf numFmtId="164" fontId="7" fillId="0" borderId="0" xfId="43" applyFont="1" applyAlignment="1" applyProtection="1">
      <alignment horizontal="left"/>
      <protection locked="0"/>
    </xf>
    <xf numFmtId="3" fontId="7" fillId="0" borderId="1" xfId="42" applyNumberFormat="1" applyFont="1" applyBorder="1" applyProtection="1">
      <protection locked="0"/>
    </xf>
    <xf numFmtId="3" fontId="7" fillId="0" borderId="0" xfId="42" applyNumberFormat="1" applyFont="1"/>
    <xf numFmtId="164" fontId="7" fillId="0" borderId="0" xfId="43" applyFont="1"/>
    <xf numFmtId="164" fontId="7" fillId="0" borderId="0" xfId="44" applyFont="1" applyAlignment="1" applyProtection="1">
      <alignment horizontal="left"/>
      <protection locked="0"/>
    </xf>
    <xf numFmtId="164" fontId="7" fillId="0" borderId="0" xfId="44" applyFont="1"/>
    <xf numFmtId="164" fontId="7" fillId="0" borderId="0" xfId="44" applyFont="1" applyProtection="1">
      <protection locked="0"/>
    </xf>
    <xf numFmtId="3" fontId="7" fillId="0" borderId="0" xfId="44" applyNumberFormat="1" applyFont="1" applyProtection="1">
      <protection locked="0"/>
    </xf>
    <xf numFmtId="3" fontId="7" fillId="0" borderId="1" xfId="44" applyNumberFormat="1" applyFont="1" applyBorder="1" applyProtection="1">
      <protection locked="0"/>
    </xf>
    <xf numFmtId="3" fontId="7" fillId="0" borderId="2" xfId="44" applyNumberFormat="1" applyFont="1" applyBorder="1" applyProtection="1">
      <protection locked="0"/>
    </xf>
    <xf numFmtId="3" fontId="7" fillId="0" borderId="0" xfId="44" applyNumberFormat="1" applyFont="1"/>
    <xf numFmtId="164" fontId="7" fillId="0" borderId="0" xfId="45" applyFont="1" applyAlignment="1" applyProtection="1">
      <alignment horizontal="left"/>
      <protection locked="0"/>
    </xf>
    <xf numFmtId="167" fontId="7" fillId="0" borderId="0" xfId="44" applyNumberFormat="1" applyFont="1" applyAlignment="1" applyProtection="1">
      <alignment horizontal="left"/>
      <protection locked="0"/>
    </xf>
    <xf numFmtId="164" fontId="7" fillId="0" borderId="0" xfId="40" applyFont="1"/>
    <xf numFmtId="164" fontId="7" fillId="0" borderId="0" xfId="40" applyFont="1" applyProtection="1">
      <protection locked="0"/>
    </xf>
    <xf numFmtId="3" fontId="7" fillId="0" borderId="0" xfId="40" applyNumberFormat="1" applyFont="1" applyProtection="1">
      <protection locked="0"/>
    </xf>
    <xf numFmtId="3" fontId="7" fillId="0" borderId="0" xfId="40" applyNumberFormat="1" applyFont="1"/>
    <xf numFmtId="3" fontId="7" fillId="0" borderId="1" xfId="40" applyNumberFormat="1" applyFont="1" applyBorder="1"/>
    <xf numFmtId="3" fontId="7" fillId="0" borderId="2" xfId="40" applyNumberFormat="1" applyFont="1" applyBorder="1"/>
    <xf numFmtId="3" fontId="7" fillId="0" borderId="1" xfId="40" applyNumberFormat="1" applyFont="1" applyBorder="1" applyProtection="1">
      <protection locked="0"/>
    </xf>
    <xf numFmtId="3" fontId="7" fillId="0" borderId="2" xfId="40" applyNumberFormat="1" applyFont="1" applyBorder="1" applyProtection="1">
      <protection locked="0"/>
    </xf>
    <xf numFmtId="164" fontId="7" fillId="0" borderId="0" xfId="43" applyFont="1" applyProtection="1">
      <protection locked="0"/>
    </xf>
    <xf numFmtId="3" fontId="7" fillId="0" borderId="0" xfId="43" applyNumberFormat="1" applyFont="1" applyProtection="1">
      <protection locked="0"/>
    </xf>
    <xf numFmtId="3" fontId="7" fillId="0" borderId="0" xfId="43" applyNumberFormat="1" applyFont="1"/>
    <xf numFmtId="164" fontId="7" fillId="0" borderId="0" xfId="43" applyFont="1" applyAlignment="1">
      <alignment horizontal="left"/>
    </xf>
    <xf numFmtId="3" fontId="7" fillId="0" borderId="1" xfId="43" applyNumberFormat="1" applyFont="1" applyBorder="1" applyProtection="1">
      <protection locked="0"/>
    </xf>
    <xf numFmtId="167" fontId="7" fillId="0" borderId="0" xfId="43" applyNumberFormat="1" applyFont="1" applyAlignment="1" applyProtection="1">
      <alignment horizontal="left"/>
      <protection locked="0"/>
    </xf>
    <xf numFmtId="164" fontId="7" fillId="0" borderId="0" xfId="43" applyFont="1" applyAlignment="1" applyProtection="1">
      <alignment horizontal="right"/>
      <protection locked="0"/>
    </xf>
    <xf numFmtId="164" fontId="7" fillId="0" borderId="0" xfId="45" applyFont="1"/>
    <xf numFmtId="164" fontId="7" fillId="0" borderId="0" xfId="45" applyFont="1" applyProtection="1">
      <protection locked="0"/>
    </xf>
    <xf numFmtId="3" fontId="7" fillId="0" borderId="0" xfId="45" applyNumberFormat="1" applyFont="1" applyProtection="1">
      <protection locked="0"/>
    </xf>
    <xf numFmtId="3" fontId="7" fillId="0" borderId="0" xfId="45" applyNumberFormat="1" applyFont="1"/>
    <xf numFmtId="3" fontId="7" fillId="0" borderId="1" xfId="45" applyNumberFormat="1" applyFont="1" applyBorder="1" applyProtection="1">
      <protection locked="0"/>
    </xf>
    <xf numFmtId="3" fontId="7" fillId="0" borderId="2" xfId="45" applyNumberFormat="1" applyFont="1" applyBorder="1" applyProtection="1">
      <protection locked="0"/>
    </xf>
    <xf numFmtId="164" fontId="8" fillId="0" borderId="0" xfId="46" applyFont="1" applyAlignment="1" applyProtection="1">
      <alignment horizontal="left"/>
      <protection locked="0"/>
    </xf>
    <xf numFmtId="164" fontId="7" fillId="0" borderId="0" xfId="45" quotePrefix="1" applyFont="1"/>
    <xf numFmtId="164" fontId="7" fillId="0" borderId="0" xfId="47" applyFont="1" applyAlignment="1" applyProtection="1">
      <alignment horizontal="left"/>
      <protection locked="0"/>
    </xf>
    <xf numFmtId="164" fontId="7" fillId="0" borderId="0" xfId="47" applyFont="1"/>
    <xf numFmtId="164" fontId="7" fillId="0" borderId="0" xfId="47" applyFont="1" applyProtection="1">
      <protection locked="0"/>
    </xf>
    <xf numFmtId="3" fontId="7" fillId="0" borderId="0" xfId="47" applyNumberFormat="1" applyFont="1" applyProtection="1">
      <protection locked="0"/>
    </xf>
    <xf numFmtId="164" fontId="7" fillId="0" borderId="0" xfId="48" applyFont="1" applyAlignment="1" applyProtection="1">
      <alignment horizontal="left"/>
      <protection locked="0"/>
    </xf>
    <xf numFmtId="3" fontId="7" fillId="0" borderId="0" xfId="47" applyNumberFormat="1" applyFont="1"/>
    <xf numFmtId="3" fontId="7" fillId="0" borderId="2" xfId="47" applyNumberFormat="1" applyFont="1" applyBorder="1" applyProtection="1">
      <protection locked="0"/>
    </xf>
    <xf numFmtId="3" fontId="7" fillId="0" borderId="1" xfId="47" applyNumberFormat="1" applyFont="1" applyBorder="1" applyProtection="1">
      <protection locked="0"/>
    </xf>
    <xf numFmtId="167" fontId="7" fillId="0" borderId="0" xfId="47" applyNumberFormat="1" applyFont="1" applyAlignment="1" applyProtection="1">
      <alignment horizontal="left"/>
      <protection locked="0"/>
    </xf>
    <xf numFmtId="164" fontId="7" fillId="0" borderId="0" xfId="47" quotePrefix="1" applyFont="1"/>
    <xf numFmtId="164" fontId="7" fillId="0" borderId="0" xfId="47" applyFont="1" applyAlignment="1" applyProtection="1">
      <alignment horizontal="right"/>
      <protection locked="0"/>
    </xf>
    <xf numFmtId="164" fontId="7" fillId="0" borderId="0" xfId="49" applyFont="1" applyAlignment="1" applyProtection="1">
      <alignment horizontal="left"/>
      <protection locked="0"/>
    </xf>
    <xf numFmtId="164" fontId="7" fillId="0" borderId="0" xfId="49" applyFont="1"/>
    <xf numFmtId="164" fontId="7" fillId="0" borderId="0" xfId="49" applyFont="1" applyProtection="1">
      <protection locked="0"/>
    </xf>
    <xf numFmtId="3" fontId="7" fillId="0" borderId="0" xfId="49" applyNumberFormat="1" applyFont="1" applyProtection="1">
      <protection locked="0"/>
    </xf>
    <xf numFmtId="3" fontId="7" fillId="0" borderId="0" xfId="49" applyNumberFormat="1" applyFont="1"/>
    <xf numFmtId="3" fontId="7" fillId="0" borderId="1" xfId="49" applyNumberFormat="1" applyFont="1" applyBorder="1"/>
    <xf numFmtId="3" fontId="7" fillId="0" borderId="2" xfId="49" applyNumberFormat="1" applyFont="1" applyBorder="1"/>
    <xf numFmtId="3" fontId="7" fillId="0" borderId="1" xfId="49" applyNumberFormat="1" applyFont="1" applyBorder="1" applyProtection="1">
      <protection locked="0"/>
    </xf>
    <xf numFmtId="3" fontId="7" fillId="0" borderId="2" xfId="49" applyNumberFormat="1" applyFont="1" applyBorder="1" applyProtection="1">
      <protection locked="0"/>
    </xf>
    <xf numFmtId="167" fontId="7" fillId="0" borderId="0" xfId="49" applyNumberFormat="1" applyFont="1" applyAlignment="1" applyProtection="1">
      <alignment horizontal="left"/>
      <protection locked="0"/>
    </xf>
    <xf numFmtId="164" fontId="7" fillId="0" borderId="0" xfId="50" applyFont="1" applyAlignment="1" applyProtection="1">
      <alignment horizontal="left"/>
      <protection locked="0"/>
    </xf>
    <xf numFmtId="164" fontId="7" fillId="0" borderId="0" xfId="50" applyFont="1"/>
    <xf numFmtId="164" fontId="7" fillId="0" borderId="0" xfId="50" applyFont="1" applyAlignment="1" applyProtection="1">
      <alignment horizontal="right"/>
      <protection locked="0"/>
    </xf>
    <xf numFmtId="3" fontId="7" fillId="0" borderId="0" xfId="50" applyNumberFormat="1" applyFont="1" applyProtection="1">
      <protection locked="0"/>
    </xf>
    <xf numFmtId="165" fontId="7" fillId="0" borderId="0" xfId="50" applyNumberFormat="1" applyFont="1" applyAlignment="1" applyProtection="1">
      <alignment horizontal="left"/>
      <protection locked="0"/>
    </xf>
    <xf numFmtId="3" fontId="7" fillId="0" borderId="0" xfId="50" applyNumberFormat="1" applyFont="1"/>
    <xf numFmtId="3" fontId="7" fillId="0" borderId="1" xfId="50" applyNumberFormat="1" applyFont="1" applyBorder="1" applyProtection="1">
      <protection locked="0"/>
    </xf>
    <xf numFmtId="3" fontId="7" fillId="0" borderId="2" xfId="50" applyNumberFormat="1" applyFont="1" applyBorder="1" applyProtection="1">
      <protection locked="0"/>
    </xf>
    <xf numFmtId="164" fontId="7" fillId="0" borderId="0" xfId="51" applyFont="1" applyAlignment="1" applyProtection="1">
      <alignment horizontal="left"/>
      <protection locked="0"/>
    </xf>
    <xf numFmtId="164" fontId="7" fillId="0" borderId="0" xfId="51" applyFont="1"/>
    <xf numFmtId="164" fontId="7" fillId="0" borderId="0" xfId="51" applyFont="1" applyProtection="1">
      <protection locked="0"/>
    </xf>
    <xf numFmtId="3" fontId="7" fillId="0" borderId="0" xfId="51" applyNumberFormat="1" applyFont="1" applyProtection="1">
      <protection locked="0"/>
    </xf>
    <xf numFmtId="165" fontId="7" fillId="0" borderId="0" xfId="51" applyNumberFormat="1" applyFont="1" applyAlignment="1" applyProtection="1">
      <alignment horizontal="left"/>
      <protection locked="0"/>
    </xf>
    <xf numFmtId="3" fontId="7" fillId="0" borderId="2" xfId="51" applyNumberFormat="1" applyFont="1" applyBorder="1" applyProtection="1">
      <protection locked="0"/>
    </xf>
    <xf numFmtId="3" fontId="7" fillId="0" borderId="0" xfId="51" applyNumberFormat="1" applyFont="1"/>
    <xf numFmtId="164" fontId="7" fillId="0" borderId="0" xfId="52" applyFont="1" applyAlignment="1" applyProtection="1">
      <alignment horizontal="left"/>
      <protection locked="0"/>
    </xf>
    <xf numFmtId="3" fontId="7" fillId="0" borderId="1" xfId="51" applyNumberFormat="1" applyFont="1" applyBorder="1" applyProtection="1">
      <protection locked="0"/>
    </xf>
    <xf numFmtId="3" fontId="7" fillId="0" borderId="0" xfId="53" applyNumberFormat="1" applyFont="1" applyProtection="1">
      <protection locked="0"/>
    </xf>
    <xf numFmtId="0" fontId="14" fillId="0" borderId="0" xfId="31" applyFont="1"/>
    <xf numFmtId="3" fontId="7" fillId="0" borderId="0" xfId="51" applyNumberFormat="1" applyFont="1" applyBorder="1" applyProtection="1">
      <protection locked="0"/>
    </xf>
    <xf numFmtId="164" fontId="7" fillId="0" borderId="0" xfId="54" applyFont="1" applyAlignment="1" applyProtection="1">
      <alignment horizontal="left"/>
      <protection locked="0"/>
    </xf>
    <xf numFmtId="164" fontId="7" fillId="0" borderId="0" xfId="55" applyFont="1" applyAlignment="1" applyProtection="1">
      <alignment horizontal="left"/>
      <protection locked="0"/>
    </xf>
    <xf numFmtId="164" fontId="7" fillId="0" borderId="0" xfId="55" applyFont="1"/>
    <xf numFmtId="164" fontId="7" fillId="0" borderId="0" xfId="55" applyFont="1" applyProtection="1">
      <protection locked="0"/>
    </xf>
    <xf numFmtId="3" fontId="7" fillId="0" borderId="0" xfId="55" applyNumberFormat="1" applyFont="1" applyProtection="1">
      <protection locked="0"/>
    </xf>
    <xf numFmtId="3" fontId="7" fillId="0" borderId="0" xfId="55" applyNumberFormat="1" applyFont="1"/>
    <xf numFmtId="3" fontId="7" fillId="0" borderId="1" xfId="55" applyNumberFormat="1" applyFont="1" applyBorder="1" applyProtection="1">
      <protection locked="0"/>
    </xf>
    <xf numFmtId="3" fontId="7" fillId="0" borderId="2" xfId="55" applyNumberFormat="1" applyFont="1" applyBorder="1" applyProtection="1">
      <protection locked="0"/>
    </xf>
    <xf numFmtId="164" fontId="7" fillId="0" borderId="0" xfId="56" applyFont="1" applyAlignment="1" applyProtection="1">
      <alignment horizontal="left"/>
      <protection locked="0"/>
    </xf>
    <xf numFmtId="164" fontId="7" fillId="0" borderId="0" xfId="56" applyFont="1"/>
    <xf numFmtId="164" fontId="7" fillId="0" borderId="0" xfId="56" applyFont="1" applyProtection="1">
      <protection locked="0"/>
    </xf>
    <xf numFmtId="3" fontId="7" fillId="0" borderId="0" xfId="56" applyNumberFormat="1" applyFont="1" applyProtection="1">
      <protection locked="0"/>
    </xf>
    <xf numFmtId="3" fontId="7" fillId="0" borderId="0" xfId="56" applyNumberFormat="1" applyFont="1"/>
    <xf numFmtId="3" fontId="7" fillId="0" borderId="2" xfId="56" applyNumberFormat="1" applyFont="1" applyBorder="1"/>
    <xf numFmtId="3" fontId="7" fillId="0" borderId="1" xfId="56" applyNumberFormat="1" applyFont="1" applyBorder="1"/>
    <xf numFmtId="164" fontId="7" fillId="0" borderId="0" xfId="57" applyFont="1" applyAlignment="1" applyProtection="1">
      <alignment horizontal="left"/>
      <protection locked="0"/>
    </xf>
    <xf numFmtId="164" fontId="7" fillId="0" borderId="0" xfId="57" applyFont="1"/>
    <xf numFmtId="164" fontId="7" fillId="0" borderId="0" xfId="57" applyFont="1" applyProtection="1">
      <protection locked="0"/>
    </xf>
    <xf numFmtId="3" fontId="7" fillId="0" borderId="0" xfId="57" applyNumberFormat="1" applyFont="1" applyProtection="1">
      <protection locked="0"/>
    </xf>
    <xf numFmtId="3" fontId="7" fillId="0" borderId="0" xfId="57" applyNumberFormat="1" applyFont="1"/>
    <xf numFmtId="3" fontId="7" fillId="0" borderId="2" xfId="57" applyNumberFormat="1" applyFont="1" applyBorder="1" applyProtection="1">
      <protection locked="0"/>
    </xf>
    <xf numFmtId="3" fontId="7" fillId="0" borderId="1" xfId="57" applyNumberFormat="1" applyFont="1" applyBorder="1" applyProtection="1">
      <protection locked="0"/>
    </xf>
    <xf numFmtId="164" fontId="7" fillId="0" borderId="0" xfId="58" applyFont="1" applyAlignment="1" applyProtection="1">
      <alignment horizontal="left"/>
      <protection locked="0"/>
    </xf>
    <xf numFmtId="164" fontId="7" fillId="0" borderId="0" xfId="58" applyFont="1"/>
    <xf numFmtId="164" fontId="7" fillId="0" borderId="0" xfId="58" applyFont="1" applyProtection="1">
      <protection locked="0"/>
    </xf>
    <xf numFmtId="3" fontId="7" fillId="0" borderId="0" xfId="58" applyNumberFormat="1" applyFont="1" applyProtection="1">
      <protection locked="0"/>
    </xf>
    <xf numFmtId="3" fontId="7" fillId="0" borderId="0" xfId="58" applyNumberFormat="1" applyFont="1"/>
    <xf numFmtId="3" fontId="7" fillId="0" borderId="1" xfId="58" applyNumberFormat="1" applyFont="1" applyBorder="1" applyProtection="1">
      <protection locked="0"/>
    </xf>
    <xf numFmtId="3" fontId="7" fillId="0" borderId="2" xfId="58" applyNumberFormat="1" applyFont="1" applyBorder="1"/>
    <xf numFmtId="3" fontId="7" fillId="0" borderId="2" xfId="58" applyNumberFormat="1" applyFont="1" applyBorder="1" applyProtection="1">
      <protection locked="0"/>
    </xf>
    <xf numFmtId="164" fontId="7" fillId="0" borderId="0" xfId="48" applyFont="1"/>
    <xf numFmtId="164" fontId="7" fillId="0" borderId="0" xfId="48" applyFont="1" applyProtection="1">
      <protection locked="0"/>
    </xf>
    <xf numFmtId="3" fontId="7" fillId="0" borderId="0" xfId="48" applyNumberFormat="1" applyFont="1" applyProtection="1">
      <protection locked="0"/>
    </xf>
    <xf numFmtId="3" fontId="7" fillId="0" borderId="0" xfId="48" applyNumberFormat="1" applyFont="1"/>
    <xf numFmtId="3" fontId="7" fillId="0" borderId="1" xfId="48" applyNumberFormat="1" applyFont="1" applyBorder="1" applyProtection="1">
      <protection locked="0"/>
    </xf>
    <xf numFmtId="3" fontId="7" fillId="0" borderId="2" xfId="48" applyNumberFormat="1" applyFont="1" applyBorder="1" applyProtection="1">
      <protection locked="0"/>
    </xf>
    <xf numFmtId="164" fontId="7" fillId="0" borderId="0" xfId="59" applyFont="1" applyAlignment="1" applyProtection="1">
      <alignment horizontal="left"/>
      <protection locked="0"/>
    </xf>
    <xf numFmtId="164" fontId="7" fillId="0" borderId="0" xfId="59" applyFont="1"/>
    <xf numFmtId="164" fontId="7" fillId="0" borderId="0" xfId="59" applyFont="1" applyProtection="1">
      <protection locked="0"/>
    </xf>
    <xf numFmtId="3" fontId="7" fillId="0" borderId="0" xfId="59" applyNumberFormat="1" applyFont="1" applyProtection="1">
      <protection locked="0"/>
    </xf>
    <xf numFmtId="3" fontId="7" fillId="0" borderId="0" xfId="59" applyNumberFormat="1" applyFont="1"/>
    <xf numFmtId="3" fontId="7" fillId="0" borderId="1" xfId="59" applyNumberFormat="1" applyFont="1" applyBorder="1"/>
    <xf numFmtId="3" fontId="7" fillId="0" borderId="2" xfId="59" applyNumberFormat="1" applyFont="1" applyBorder="1"/>
    <xf numFmtId="3" fontId="7" fillId="0" borderId="0" xfId="59" applyNumberFormat="1" applyFont="1" applyBorder="1"/>
    <xf numFmtId="164" fontId="7" fillId="0" borderId="0" xfId="60" applyFont="1" applyAlignment="1" applyProtection="1">
      <alignment horizontal="left"/>
      <protection locked="0"/>
    </xf>
    <xf numFmtId="164" fontId="7" fillId="0" borderId="0" xfId="60" applyFont="1"/>
    <xf numFmtId="164" fontId="7" fillId="0" borderId="0" xfId="60" applyFont="1" applyProtection="1">
      <protection locked="0"/>
    </xf>
    <xf numFmtId="3" fontId="7" fillId="0" borderId="0" xfId="60" applyNumberFormat="1" applyFont="1" applyProtection="1">
      <protection locked="0"/>
    </xf>
    <xf numFmtId="3" fontId="7" fillId="0" borderId="0" xfId="60" applyNumberFormat="1" applyFont="1"/>
    <xf numFmtId="3" fontId="7" fillId="0" borderId="1" xfId="60" applyNumberFormat="1" applyFont="1" applyBorder="1" applyProtection="1">
      <protection locked="0"/>
    </xf>
    <xf numFmtId="164" fontId="8" fillId="0" borderId="0" xfId="46" applyFont="1"/>
    <xf numFmtId="164" fontId="8" fillId="0" borderId="0" xfId="46" applyFont="1" applyProtection="1">
      <protection locked="0"/>
    </xf>
    <xf numFmtId="164" fontId="7" fillId="0" borderId="0" xfId="46" applyFont="1"/>
    <xf numFmtId="3" fontId="8" fillId="0" borderId="0" xfId="46" applyNumberFormat="1" applyFont="1" applyProtection="1">
      <protection locked="0"/>
    </xf>
    <xf numFmtId="3" fontId="8" fillId="0" borderId="0" xfId="46" applyNumberFormat="1" applyFont="1"/>
    <xf numFmtId="3" fontId="8" fillId="0" borderId="1" xfId="46" applyNumberFormat="1" applyFont="1" applyBorder="1"/>
    <xf numFmtId="3" fontId="8" fillId="0" borderId="2" xfId="46" applyNumberFormat="1" applyFont="1" applyBorder="1"/>
    <xf numFmtId="164" fontId="7" fillId="0" borderId="0" xfId="61" applyFont="1" applyAlignment="1" applyProtection="1">
      <alignment horizontal="left"/>
      <protection locked="0"/>
    </xf>
    <xf numFmtId="3" fontId="8" fillId="0" borderId="0" xfId="46" applyNumberFormat="1" applyFont="1" applyBorder="1"/>
    <xf numFmtId="3" fontId="8" fillId="0" borderId="1" xfId="46" applyNumberFormat="1" applyFont="1" applyBorder="1" applyProtection="1">
      <protection locked="0"/>
    </xf>
    <xf numFmtId="3" fontId="7" fillId="0" borderId="0" xfId="46" applyNumberFormat="1" applyFont="1"/>
    <xf numFmtId="3" fontId="8" fillId="0" borderId="2" xfId="46" applyNumberFormat="1" applyFont="1" applyBorder="1" applyProtection="1">
      <protection locked="0"/>
    </xf>
    <xf numFmtId="164" fontId="15" fillId="0" borderId="0" xfId="46" applyFont="1" applyAlignment="1" applyProtection="1">
      <alignment horizontal="left"/>
      <protection locked="0"/>
    </xf>
    <xf numFmtId="164" fontId="15" fillId="0" borderId="0" xfId="46" applyFont="1" applyProtection="1">
      <protection locked="0"/>
    </xf>
    <xf numFmtId="164" fontId="8" fillId="0" borderId="0" xfId="62" applyFont="1" applyAlignment="1" applyProtection="1">
      <alignment horizontal="left"/>
      <protection locked="0"/>
    </xf>
    <xf numFmtId="164" fontId="8" fillId="0" borderId="0" xfId="62" applyFont="1"/>
    <xf numFmtId="164" fontId="8" fillId="0" borderId="0" xfId="62" applyFont="1" applyProtection="1">
      <protection locked="0"/>
    </xf>
    <xf numFmtId="164" fontId="7" fillId="0" borderId="0" xfId="62" applyFont="1"/>
    <xf numFmtId="3" fontId="8" fillId="0" borderId="0" xfId="62" applyNumberFormat="1" applyFont="1" applyProtection="1">
      <protection locked="0"/>
    </xf>
    <xf numFmtId="3" fontId="7" fillId="0" borderId="0" xfId="62" applyNumberFormat="1" applyFont="1"/>
    <xf numFmtId="3" fontId="8" fillId="0" borderId="1" xfId="62" applyNumberFormat="1" applyFont="1" applyBorder="1" applyProtection="1">
      <protection locked="0"/>
    </xf>
    <xf numFmtId="3" fontId="8" fillId="0" borderId="2" xfId="62" applyNumberFormat="1" applyFont="1" applyBorder="1" applyProtection="1">
      <protection locked="0"/>
    </xf>
    <xf numFmtId="3" fontId="8" fillId="0" borderId="0" xfId="62" applyNumberFormat="1" applyFont="1"/>
    <xf numFmtId="164" fontId="7" fillId="0" borderId="0" xfId="63" applyFont="1" applyAlignment="1" applyProtection="1">
      <alignment horizontal="left"/>
      <protection locked="0"/>
    </xf>
    <xf numFmtId="164" fontId="7" fillId="0" borderId="0" xfId="63" applyFont="1"/>
    <xf numFmtId="164" fontId="7" fillId="0" borderId="0" xfId="63" applyFont="1" applyProtection="1">
      <protection locked="0"/>
    </xf>
    <xf numFmtId="3" fontId="7" fillId="0" borderId="0" xfId="63" applyNumberFormat="1" applyFont="1" applyProtection="1">
      <protection locked="0"/>
    </xf>
    <xf numFmtId="3" fontId="7" fillId="0" borderId="1" xfId="63" applyNumberFormat="1" applyFont="1" applyBorder="1" applyProtection="1">
      <protection locked="0"/>
    </xf>
    <xf numFmtId="3" fontId="7" fillId="0" borderId="2" xfId="63" applyNumberFormat="1" applyFont="1" applyBorder="1" applyProtection="1">
      <protection locked="0"/>
    </xf>
    <xf numFmtId="164" fontId="7" fillId="0" borderId="0" xfId="64" applyFont="1" applyAlignment="1" applyProtection="1">
      <alignment horizontal="left"/>
      <protection locked="0"/>
    </xf>
    <xf numFmtId="164" fontId="7" fillId="0" borderId="0" xfId="65" applyFont="1" applyAlignment="1" applyProtection="1">
      <alignment horizontal="left"/>
      <protection locked="0"/>
    </xf>
    <xf numFmtId="3" fontId="7" fillId="0" borderId="0" xfId="63" applyNumberFormat="1" applyFont="1"/>
    <xf numFmtId="164" fontId="7" fillId="0" borderId="0" xfId="63" quotePrefix="1" applyFont="1"/>
    <xf numFmtId="164" fontId="7" fillId="0" borderId="0" xfId="52" applyFont="1"/>
    <xf numFmtId="164" fontId="7" fillId="0" borderId="0" xfId="52" applyFont="1" applyProtection="1">
      <protection locked="0"/>
    </xf>
    <xf numFmtId="3" fontId="7" fillId="0" borderId="0" xfId="52" applyNumberFormat="1" applyFont="1" applyProtection="1">
      <protection locked="0"/>
    </xf>
    <xf numFmtId="165" fontId="7" fillId="0" borderId="0" xfId="52" applyNumberFormat="1" applyFont="1" applyAlignment="1" applyProtection="1">
      <alignment horizontal="left"/>
      <protection locked="0"/>
    </xf>
    <xf numFmtId="3" fontId="7" fillId="0" borderId="1" xfId="52" applyNumberFormat="1" applyFont="1" applyBorder="1" applyProtection="1">
      <protection locked="0"/>
    </xf>
    <xf numFmtId="3" fontId="7" fillId="0" borderId="2" xfId="52" applyNumberFormat="1" applyFont="1" applyBorder="1" applyProtection="1">
      <protection locked="0"/>
    </xf>
    <xf numFmtId="3" fontId="7" fillId="0" borderId="0" xfId="52" applyNumberFormat="1" applyFont="1"/>
    <xf numFmtId="164" fontId="7" fillId="0" borderId="0" xfId="66" applyFont="1" applyAlignment="1" applyProtection="1">
      <alignment horizontal="left"/>
      <protection locked="0"/>
    </xf>
    <xf numFmtId="164" fontId="7" fillId="0" borderId="0" xfId="66" applyFont="1"/>
    <xf numFmtId="164" fontId="7" fillId="0" borderId="0" xfId="66" applyFont="1" applyProtection="1">
      <protection locked="0"/>
    </xf>
    <xf numFmtId="3" fontId="7" fillId="0" borderId="0" xfId="66" applyNumberFormat="1" applyFont="1" applyProtection="1">
      <protection locked="0"/>
    </xf>
    <xf numFmtId="3" fontId="7" fillId="0" borderId="0" xfId="66" applyNumberFormat="1" applyFont="1"/>
    <xf numFmtId="3" fontId="7" fillId="0" borderId="1" xfId="66" applyNumberFormat="1" applyFont="1" applyBorder="1"/>
    <xf numFmtId="3" fontId="7" fillId="0" borderId="2" xfId="66" applyNumberFormat="1" applyFont="1" applyBorder="1"/>
    <xf numFmtId="3" fontId="7" fillId="0" borderId="1" xfId="66" applyNumberFormat="1" applyFont="1" applyBorder="1" applyProtection="1">
      <protection locked="0"/>
    </xf>
    <xf numFmtId="164" fontId="7" fillId="0" borderId="0" xfId="67" applyFont="1" applyAlignment="1" applyProtection="1">
      <alignment horizontal="left"/>
      <protection locked="0"/>
    </xf>
    <xf numFmtId="164" fontId="7" fillId="0" borderId="0" xfId="60" applyFont="1" applyBorder="1" applyProtection="1">
      <protection locked="0"/>
    </xf>
    <xf numFmtId="164" fontId="7" fillId="0" borderId="0" xfId="61" applyFont="1"/>
    <xf numFmtId="164" fontId="7" fillId="0" borderId="0" xfId="61" applyFont="1" applyProtection="1">
      <protection locked="0"/>
    </xf>
    <xf numFmtId="3" fontId="7" fillId="0" borderId="0" xfId="61" applyNumberFormat="1" applyFont="1" applyProtection="1">
      <protection locked="0"/>
    </xf>
    <xf numFmtId="3" fontId="7" fillId="0" borderId="1" xfId="61" applyNumberFormat="1" applyFont="1" applyBorder="1" applyProtection="1">
      <protection locked="0"/>
    </xf>
    <xf numFmtId="3" fontId="7" fillId="0" borderId="2" xfId="61" applyNumberFormat="1" applyFont="1" applyBorder="1" applyProtection="1">
      <protection locked="0"/>
    </xf>
    <xf numFmtId="3" fontId="7" fillId="0" borderId="0" xfId="61" applyNumberFormat="1" applyFont="1"/>
    <xf numFmtId="3" fontId="7" fillId="0" borderId="0" xfId="61" applyNumberFormat="1" applyFont="1" applyBorder="1" applyProtection="1">
      <protection locked="0"/>
    </xf>
    <xf numFmtId="164" fontId="7" fillId="0" borderId="0" xfId="64" applyFont="1"/>
    <xf numFmtId="164" fontId="7" fillId="0" borderId="0" xfId="64" applyFont="1" applyProtection="1">
      <protection locked="0"/>
    </xf>
    <xf numFmtId="3" fontId="7" fillId="0" borderId="0" xfId="64" applyNumberFormat="1" applyFont="1" applyProtection="1">
      <protection locked="0"/>
    </xf>
    <xf numFmtId="3" fontId="7" fillId="0" borderId="0" xfId="64" applyNumberFormat="1" applyFont="1"/>
    <xf numFmtId="3" fontId="7" fillId="0" borderId="1" xfId="64" applyNumberFormat="1" applyFont="1" applyBorder="1" applyProtection="1">
      <protection locked="0"/>
    </xf>
    <xf numFmtId="3" fontId="7" fillId="0" borderId="2" xfId="64" applyNumberFormat="1" applyFont="1" applyBorder="1" applyProtection="1">
      <protection locked="0"/>
    </xf>
    <xf numFmtId="164" fontId="7" fillId="0" borderId="0" xfId="64" quotePrefix="1" applyFont="1"/>
    <xf numFmtId="3" fontId="7" fillId="0" borderId="0" xfId="52" applyNumberFormat="1" applyFont="1" applyBorder="1" applyProtection="1">
      <protection locked="0"/>
    </xf>
    <xf numFmtId="3" fontId="7" fillId="0" borderId="0" xfId="68" applyNumberFormat="1" applyFont="1" applyProtection="1">
      <protection locked="0"/>
    </xf>
    <xf numFmtId="164" fontId="7" fillId="0" borderId="0" xfId="67" applyFont="1"/>
    <xf numFmtId="164" fontId="7" fillId="0" borderId="0" xfId="67" applyFont="1" applyProtection="1">
      <protection locked="0"/>
    </xf>
    <xf numFmtId="3" fontId="7" fillId="0" borderId="0" xfId="67" applyNumberFormat="1" applyFont="1" applyProtection="1">
      <protection locked="0"/>
    </xf>
    <xf numFmtId="3" fontId="7" fillId="0" borderId="1" xfId="67" applyNumberFormat="1" applyFont="1" applyBorder="1" applyProtection="1">
      <protection locked="0"/>
    </xf>
    <xf numFmtId="3" fontId="7" fillId="0" borderId="0" xfId="67" applyNumberFormat="1" applyFont="1"/>
    <xf numFmtId="164" fontId="7" fillId="0" borderId="0" xfId="65" applyFont="1"/>
    <xf numFmtId="164" fontId="7" fillId="0" borderId="0" xfId="65" applyFont="1" applyProtection="1">
      <protection locked="0"/>
    </xf>
    <xf numFmtId="3" fontId="7" fillId="0" borderId="0" xfId="65" applyNumberFormat="1" applyFont="1" applyProtection="1">
      <protection locked="0"/>
    </xf>
    <xf numFmtId="3" fontId="7" fillId="0" borderId="0" xfId="65" applyNumberFormat="1" applyFont="1"/>
    <xf numFmtId="3" fontId="7" fillId="0" borderId="1" xfId="65" applyNumberFormat="1" applyFont="1" applyBorder="1" applyProtection="1">
      <protection locked="0"/>
    </xf>
    <xf numFmtId="3" fontId="7" fillId="0" borderId="2" xfId="65" applyNumberFormat="1" applyFont="1" applyBorder="1" applyProtection="1">
      <protection locked="0"/>
    </xf>
    <xf numFmtId="3" fontId="7" fillId="0" borderId="0" xfId="43" applyNumberFormat="1" applyFont="1" applyBorder="1" applyProtection="1">
      <protection locked="0"/>
    </xf>
    <xf numFmtId="165" fontId="7" fillId="0" borderId="0" xfId="43" applyNumberFormat="1" applyFont="1" applyProtection="1">
      <protection locked="0"/>
    </xf>
    <xf numFmtId="164" fontId="7" fillId="0" borderId="0" xfId="69" applyFont="1" applyAlignment="1" applyProtection="1">
      <alignment horizontal="left"/>
      <protection locked="0"/>
    </xf>
    <xf numFmtId="164" fontId="7" fillId="0" borderId="0" xfId="69" applyFont="1"/>
    <xf numFmtId="164" fontId="7" fillId="0" borderId="0" xfId="69" applyFont="1" applyAlignment="1" applyProtection="1">
      <alignment horizontal="right"/>
      <protection locked="0"/>
    </xf>
    <xf numFmtId="3" fontId="7" fillId="0" borderId="0" xfId="69" applyNumberFormat="1" applyFont="1" applyProtection="1">
      <protection locked="0"/>
    </xf>
    <xf numFmtId="3" fontId="7" fillId="0" borderId="1" xfId="69" applyNumberFormat="1" applyFont="1" applyBorder="1" applyProtection="1">
      <protection locked="0"/>
    </xf>
    <xf numFmtId="3" fontId="7" fillId="0" borderId="0" xfId="69" applyNumberFormat="1" applyFont="1"/>
    <xf numFmtId="167" fontId="7" fillId="0" borderId="0" xfId="69" applyNumberFormat="1" applyFont="1" applyAlignment="1">
      <alignment horizontal="left"/>
    </xf>
    <xf numFmtId="164" fontId="7" fillId="0" borderId="0" xfId="69" applyFont="1" applyProtection="1">
      <protection locked="0"/>
    </xf>
    <xf numFmtId="164" fontId="7" fillId="0" borderId="0" xfId="70" applyFont="1" applyAlignment="1" applyProtection="1">
      <alignment horizontal="left"/>
      <protection locked="0"/>
    </xf>
    <xf numFmtId="164" fontId="7" fillId="0" borderId="0" xfId="70" applyFont="1"/>
    <xf numFmtId="164" fontId="7" fillId="0" borderId="0" xfId="70" applyFont="1" applyAlignment="1" applyProtection="1">
      <alignment horizontal="right"/>
      <protection locked="0"/>
    </xf>
    <xf numFmtId="3" fontId="7" fillId="0" borderId="0" xfId="70" applyNumberFormat="1" applyFont="1" applyProtection="1">
      <protection locked="0"/>
    </xf>
    <xf numFmtId="3" fontId="7" fillId="0" borderId="1" xfId="70" applyNumberFormat="1" applyFont="1" applyBorder="1" applyProtection="1">
      <protection locked="0"/>
    </xf>
    <xf numFmtId="3" fontId="7" fillId="0" borderId="2" xfId="70" applyNumberFormat="1" applyFont="1" applyBorder="1" applyProtection="1">
      <protection locked="0"/>
    </xf>
    <xf numFmtId="3" fontId="7" fillId="0" borderId="0" xfId="70" applyNumberFormat="1" applyFont="1"/>
    <xf numFmtId="165" fontId="7" fillId="0" borderId="0" xfId="70" applyNumberFormat="1" applyFont="1" applyAlignment="1" applyProtection="1">
      <alignment horizontal="left"/>
      <protection locked="0"/>
    </xf>
    <xf numFmtId="3" fontId="7" fillId="0" borderId="0" xfId="70" applyNumberFormat="1" applyFont="1" applyAlignment="1" applyProtection="1">
      <alignment horizontal="left"/>
      <protection locked="0"/>
    </xf>
    <xf numFmtId="164" fontId="7" fillId="0" borderId="0" xfId="71" applyFont="1" applyAlignment="1" applyProtection="1">
      <alignment horizontal="left"/>
      <protection locked="0"/>
    </xf>
    <xf numFmtId="3" fontId="7" fillId="0" borderId="0" xfId="70" applyNumberFormat="1" applyFont="1" applyAlignment="1" applyProtection="1">
      <protection locked="0"/>
    </xf>
    <xf numFmtId="3" fontId="7" fillId="0" borderId="1" xfId="70" applyNumberFormat="1" applyFont="1" applyBorder="1" applyAlignment="1" applyProtection="1">
      <protection locked="0"/>
    </xf>
    <xf numFmtId="3" fontId="7" fillId="0" borderId="0" xfId="70" applyNumberFormat="1" applyFont="1" applyBorder="1" applyProtection="1">
      <protection locked="0"/>
    </xf>
    <xf numFmtId="167" fontId="7" fillId="0" borderId="0" xfId="70" applyNumberFormat="1" applyFont="1" applyAlignment="1" applyProtection="1">
      <alignment horizontal="left"/>
      <protection locked="0"/>
    </xf>
    <xf numFmtId="167" fontId="7" fillId="0" borderId="0" xfId="70" applyNumberFormat="1" applyFont="1" applyAlignment="1">
      <alignment horizontal="left"/>
    </xf>
    <xf numFmtId="164" fontId="7" fillId="0" borderId="0" xfId="70" applyFont="1" applyProtection="1">
      <protection locked="0"/>
    </xf>
    <xf numFmtId="164" fontId="7" fillId="0" borderId="0" xfId="72" applyFont="1" applyAlignment="1" applyProtection="1">
      <alignment horizontal="left"/>
      <protection locked="0"/>
    </xf>
    <xf numFmtId="164" fontId="7" fillId="0" borderId="0" xfId="72" applyFont="1"/>
    <xf numFmtId="164" fontId="7" fillId="0" borderId="0" xfId="72" applyFont="1" applyAlignment="1" applyProtection="1">
      <alignment horizontal="right"/>
      <protection locked="0"/>
    </xf>
    <xf numFmtId="3" fontId="7" fillId="0" borderId="0" xfId="72" applyNumberFormat="1" applyFont="1" applyProtection="1">
      <protection locked="0"/>
    </xf>
    <xf numFmtId="3" fontId="7" fillId="0" borderId="0" xfId="72" applyNumberFormat="1" applyFont="1"/>
    <xf numFmtId="164" fontId="7" fillId="0" borderId="0" xfId="72" applyFont="1" applyAlignment="1">
      <alignment horizontal="left"/>
    </xf>
    <xf numFmtId="165" fontId="7" fillId="0" borderId="0" xfId="72" applyNumberFormat="1" applyFont="1" applyAlignment="1" applyProtection="1">
      <alignment horizontal="left"/>
      <protection locked="0"/>
    </xf>
    <xf numFmtId="3" fontId="7" fillId="0" borderId="2" xfId="72" applyNumberFormat="1" applyFont="1" applyBorder="1"/>
    <xf numFmtId="3" fontId="7" fillId="0" borderId="0" xfId="72" applyNumberFormat="1" applyFont="1" applyBorder="1"/>
    <xf numFmtId="3" fontId="7" fillId="0" borderId="2" xfId="72" applyNumberFormat="1" applyFont="1" applyBorder="1" applyProtection="1">
      <protection locked="0"/>
    </xf>
    <xf numFmtId="3" fontId="7" fillId="0" borderId="1" xfId="72" applyNumberFormat="1" applyFont="1" applyBorder="1" applyProtection="1">
      <protection locked="0"/>
    </xf>
    <xf numFmtId="166" fontId="7" fillId="0" borderId="0" xfId="72" applyNumberFormat="1" applyFont="1" applyProtection="1">
      <protection locked="0"/>
    </xf>
    <xf numFmtId="164" fontId="7" fillId="0" borderId="0" xfId="72" applyFont="1" applyProtection="1">
      <protection locked="0"/>
    </xf>
    <xf numFmtId="164" fontId="7" fillId="0" borderId="0" xfId="71" applyFont="1"/>
    <xf numFmtId="164" fontId="7" fillId="0" borderId="0" xfId="71" applyFont="1" applyAlignment="1" applyProtection="1">
      <alignment horizontal="right"/>
      <protection locked="0"/>
    </xf>
    <xf numFmtId="3" fontId="7" fillId="0" borderId="0" xfId="71" applyNumberFormat="1" applyFont="1" applyProtection="1">
      <protection locked="0"/>
    </xf>
    <xf numFmtId="3" fontId="7" fillId="0" borderId="0" xfId="71" applyNumberFormat="1" applyFont="1"/>
    <xf numFmtId="165" fontId="7" fillId="0" borderId="0" xfId="71" applyNumberFormat="1" applyFont="1" applyAlignment="1" applyProtection="1">
      <alignment horizontal="left"/>
      <protection locked="0"/>
    </xf>
    <xf numFmtId="3" fontId="7" fillId="0" borderId="2" xfId="71" applyNumberFormat="1" applyFont="1" applyBorder="1" applyProtection="1">
      <protection locked="0"/>
    </xf>
    <xf numFmtId="3" fontId="7" fillId="0" borderId="1" xfId="71" applyNumberFormat="1" applyFont="1" applyBorder="1" applyProtection="1">
      <protection locked="0"/>
    </xf>
    <xf numFmtId="3" fontId="7" fillId="0" borderId="0" xfId="71" applyNumberFormat="1" applyFont="1" applyBorder="1" applyProtection="1">
      <protection locked="0"/>
    </xf>
    <xf numFmtId="164" fontId="7" fillId="0" borderId="0" xfId="71" applyFont="1" applyProtection="1">
      <protection locked="0"/>
    </xf>
    <xf numFmtId="167" fontId="7" fillId="0" borderId="0" xfId="71" applyNumberFormat="1" applyFont="1" applyAlignment="1" applyProtection="1">
      <alignment horizontal="left"/>
      <protection locked="0"/>
    </xf>
    <xf numFmtId="164" fontId="7" fillId="0" borderId="0" xfId="73" applyFont="1" applyAlignment="1" applyProtection="1">
      <alignment horizontal="left"/>
      <protection locked="0"/>
    </xf>
    <xf numFmtId="164" fontId="7" fillId="0" borderId="0" xfId="73" applyFont="1"/>
    <xf numFmtId="164" fontId="7" fillId="0" borderId="0" xfId="73" applyFont="1" applyAlignment="1" applyProtection="1">
      <alignment horizontal="right"/>
      <protection locked="0"/>
    </xf>
    <xf numFmtId="3" fontId="7" fillId="0" borderId="0" xfId="73" applyNumberFormat="1" applyFont="1" applyProtection="1">
      <protection locked="0"/>
    </xf>
    <xf numFmtId="3" fontId="7" fillId="0" borderId="0" xfId="73" applyNumberFormat="1" applyFont="1" applyBorder="1" applyProtection="1">
      <protection locked="0"/>
    </xf>
    <xf numFmtId="3" fontId="7" fillId="0" borderId="1" xfId="73" applyNumberFormat="1" applyFont="1" applyBorder="1" applyProtection="1">
      <protection locked="0"/>
    </xf>
    <xf numFmtId="3" fontId="7" fillId="0" borderId="0" xfId="73" applyNumberFormat="1" applyFont="1"/>
    <xf numFmtId="166" fontId="7" fillId="0" borderId="0" xfId="73" applyNumberFormat="1" applyFont="1" applyProtection="1">
      <protection locked="0"/>
    </xf>
    <xf numFmtId="167" fontId="7" fillId="0" borderId="0" xfId="73" applyNumberFormat="1" applyFont="1" applyAlignment="1" applyProtection="1">
      <alignment horizontal="left"/>
      <protection locked="0"/>
    </xf>
    <xf numFmtId="167" fontId="7" fillId="0" borderId="0" xfId="73" applyNumberFormat="1" applyFont="1" applyAlignment="1">
      <alignment horizontal="left"/>
    </xf>
    <xf numFmtId="164" fontId="7" fillId="0" borderId="0" xfId="73" applyFont="1" applyProtection="1">
      <protection locked="0"/>
    </xf>
    <xf numFmtId="164" fontId="7" fillId="0" borderId="0" xfId="74" applyFont="1" applyAlignment="1" applyProtection="1">
      <alignment horizontal="left"/>
      <protection locked="0"/>
    </xf>
    <xf numFmtId="164" fontId="7" fillId="0" borderId="0" xfId="74" applyFont="1"/>
    <xf numFmtId="164" fontId="7" fillId="0" borderId="0" xfId="74" applyFont="1" applyAlignment="1" applyProtection="1">
      <alignment horizontal="right"/>
      <protection locked="0"/>
    </xf>
    <xf numFmtId="3" fontId="7" fillId="0" borderId="0" xfId="74" applyNumberFormat="1" applyFont="1" applyProtection="1">
      <protection locked="0"/>
    </xf>
    <xf numFmtId="3" fontId="7" fillId="0" borderId="0" xfId="74" applyNumberFormat="1" applyFont="1"/>
    <xf numFmtId="165" fontId="7" fillId="0" borderId="0" xfId="74" applyNumberFormat="1" applyFont="1" applyAlignment="1" applyProtection="1">
      <alignment horizontal="left"/>
      <protection locked="0"/>
    </xf>
    <xf numFmtId="3" fontId="7" fillId="0" borderId="1" xfId="74" applyNumberFormat="1" applyFont="1" applyBorder="1" applyProtection="1">
      <protection locked="0"/>
    </xf>
    <xf numFmtId="3" fontId="7" fillId="0" borderId="2" xfId="74" applyNumberFormat="1" applyFont="1" applyBorder="1" applyProtection="1">
      <protection locked="0"/>
    </xf>
    <xf numFmtId="166" fontId="7" fillId="0" borderId="0" xfId="74" applyNumberFormat="1" applyFont="1" applyProtection="1">
      <protection locked="0"/>
    </xf>
    <xf numFmtId="167" fontId="7" fillId="0" borderId="0" xfId="74" applyNumberFormat="1" applyFont="1" applyAlignment="1" applyProtection="1">
      <alignment horizontal="left"/>
      <protection locked="0"/>
    </xf>
    <xf numFmtId="164" fontId="7" fillId="0" borderId="0" xfId="74" applyFont="1" applyProtection="1">
      <protection locked="0"/>
    </xf>
    <xf numFmtId="164" fontId="8" fillId="0" borderId="0" xfId="12" applyFont="1" applyAlignment="1" applyProtection="1">
      <alignment horizontal="center"/>
      <protection locked="0"/>
    </xf>
    <xf numFmtId="164" fontId="7" fillId="0" borderId="0" xfId="54" applyFont="1"/>
    <xf numFmtId="164" fontId="7" fillId="0" borderId="0" xfId="54" applyFont="1" applyAlignment="1" applyProtection="1">
      <alignment horizontal="right"/>
      <protection locked="0"/>
    </xf>
    <xf numFmtId="3" fontId="7" fillId="0" borderId="0" xfId="54" applyNumberFormat="1" applyFont="1" applyProtection="1">
      <protection locked="0"/>
    </xf>
    <xf numFmtId="3" fontId="7" fillId="0" borderId="0" xfId="54" applyNumberFormat="1" applyFont="1"/>
    <xf numFmtId="164" fontId="7" fillId="0" borderId="0" xfId="54" applyFont="1" applyAlignment="1">
      <alignment horizontal="left"/>
    </xf>
    <xf numFmtId="165" fontId="7" fillId="0" borderId="0" xfId="54" applyNumberFormat="1" applyFont="1" applyAlignment="1" applyProtection="1">
      <alignment horizontal="left"/>
      <protection locked="0"/>
    </xf>
    <xf numFmtId="3" fontId="7" fillId="0" borderId="1" xfId="54" applyNumberFormat="1" applyFont="1" applyBorder="1" applyProtection="1">
      <protection locked="0"/>
    </xf>
    <xf numFmtId="3" fontId="7" fillId="0" borderId="0" xfId="54" applyNumberFormat="1" applyFont="1" applyBorder="1" applyProtection="1">
      <protection locked="0"/>
    </xf>
    <xf numFmtId="3" fontId="7" fillId="0" borderId="2" xfId="54" applyNumberFormat="1" applyFont="1" applyBorder="1" applyProtection="1">
      <protection locked="0"/>
    </xf>
    <xf numFmtId="167" fontId="7" fillId="0" borderId="0" xfId="54" applyNumberFormat="1" applyFont="1" applyAlignment="1" applyProtection="1">
      <alignment horizontal="left"/>
      <protection locked="0"/>
    </xf>
    <xf numFmtId="164" fontId="7" fillId="0" borderId="0" xfId="54" applyFont="1" applyProtection="1">
      <protection locked="0"/>
    </xf>
    <xf numFmtId="167" fontId="7" fillId="0" borderId="0" xfId="54" applyNumberFormat="1" applyFont="1" applyAlignment="1">
      <alignment horizontal="left"/>
    </xf>
    <xf numFmtId="164" fontId="8" fillId="0" borderId="0" xfId="36" applyFont="1"/>
    <xf numFmtId="164" fontId="8" fillId="0" borderId="0" xfId="36" applyFont="1" applyAlignment="1" applyProtection="1">
      <alignment horizontal="right"/>
      <protection locked="0"/>
    </xf>
    <xf numFmtId="164" fontId="8" fillId="0" borderId="0" xfId="36" applyFont="1" applyAlignment="1" applyProtection="1">
      <alignment horizontal="left"/>
      <protection locked="0"/>
    </xf>
    <xf numFmtId="3" fontId="8" fillId="0" borderId="0" xfId="36" applyNumberFormat="1" applyFont="1" applyProtection="1">
      <protection locked="0"/>
    </xf>
    <xf numFmtId="3" fontId="8" fillId="0" borderId="1" xfId="36" applyNumberFormat="1" applyFont="1" applyBorder="1" applyProtection="1">
      <protection locked="0"/>
    </xf>
    <xf numFmtId="164" fontId="8" fillId="0" borderId="0" xfId="36" applyFont="1" applyBorder="1" applyProtection="1">
      <protection locked="0"/>
    </xf>
    <xf numFmtId="3" fontId="8" fillId="0" borderId="1" xfId="36" applyNumberFormat="1" applyFont="1" applyBorder="1"/>
    <xf numFmtId="165" fontId="8" fillId="0" borderId="0" xfId="36" applyNumberFormat="1" applyFont="1" applyAlignment="1" applyProtection="1">
      <alignment horizontal="left"/>
      <protection locked="0"/>
    </xf>
    <xf numFmtId="3" fontId="8" fillId="0" borderId="0" xfId="36" applyNumberFormat="1" applyFont="1" applyBorder="1" applyProtection="1">
      <protection locked="0"/>
    </xf>
    <xf numFmtId="3" fontId="8" fillId="0" borderId="0" xfId="36" applyNumberFormat="1" applyFont="1"/>
    <xf numFmtId="164" fontId="7" fillId="0" borderId="0" xfId="75" applyFont="1" applyAlignment="1" applyProtection="1">
      <alignment horizontal="left"/>
      <protection locked="0"/>
    </xf>
    <xf numFmtId="167" fontId="7" fillId="0" borderId="0" xfId="36" applyNumberFormat="1" applyFont="1" applyAlignment="1">
      <alignment horizontal="left"/>
    </xf>
    <xf numFmtId="0" fontId="0" fillId="0" borderId="0" xfId="0" applyAlignment="1"/>
    <xf numFmtId="164" fontId="8" fillId="0" borderId="0" xfId="36" applyFont="1" applyProtection="1">
      <protection locked="0"/>
    </xf>
    <xf numFmtId="167" fontId="8" fillId="0" borderId="0" xfId="36" applyNumberFormat="1" applyFont="1" applyAlignment="1" applyProtection="1">
      <alignment horizontal="left"/>
      <protection locked="0"/>
    </xf>
    <xf numFmtId="164" fontId="7" fillId="0" borderId="0" xfId="75" applyFont="1"/>
    <xf numFmtId="164" fontId="7" fillId="0" borderId="0" xfId="75" applyFont="1" applyAlignment="1" applyProtection="1">
      <alignment horizontal="right"/>
      <protection locked="0"/>
    </xf>
    <xf numFmtId="3" fontId="7" fillId="0" borderId="0" xfId="75" applyNumberFormat="1" applyFont="1" applyProtection="1">
      <protection locked="0"/>
    </xf>
    <xf numFmtId="3" fontId="7" fillId="0" borderId="0" xfId="75" applyNumberFormat="1" applyFont="1"/>
    <xf numFmtId="164" fontId="7" fillId="0" borderId="0" xfId="75" applyFont="1" applyAlignment="1">
      <alignment horizontal="left"/>
    </xf>
    <xf numFmtId="165" fontId="7" fillId="0" borderId="0" xfId="75" applyNumberFormat="1" applyFont="1" applyAlignment="1" applyProtection="1">
      <alignment horizontal="left"/>
      <protection locked="0"/>
    </xf>
    <xf numFmtId="3" fontId="7" fillId="0" borderId="1" xfId="75" applyNumberFormat="1" applyFont="1" applyBorder="1" applyProtection="1">
      <protection locked="0"/>
    </xf>
    <xf numFmtId="3" fontId="7" fillId="0" borderId="2" xfId="75" applyNumberFormat="1" applyFont="1" applyBorder="1" applyProtection="1">
      <protection locked="0"/>
    </xf>
    <xf numFmtId="3" fontId="7" fillId="0" borderId="0" xfId="75" applyNumberFormat="1" applyFont="1" applyBorder="1" applyProtection="1">
      <protection locked="0"/>
    </xf>
    <xf numFmtId="166" fontId="7" fillId="0" borderId="0" xfId="75" applyNumberFormat="1" applyFont="1" applyAlignment="1" applyProtection="1">
      <alignment horizontal="left"/>
      <protection locked="0"/>
    </xf>
    <xf numFmtId="166" fontId="7" fillId="0" borderId="0" xfId="75" applyNumberFormat="1" applyFont="1" applyProtection="1">
      <protection locked="0"/>
    </xf>
    <xf numFmtId="164" fontId="7" fillId="0" borderId="0" xfId="75" applyFont="1" applyProtection="1">
      <protection locked="0"/>
    </xf>
    <xf numFmtId="164" fontId="9" fillId="0" borderId="0" xfId="10" applyFont="1"/>
    <xf numFmtId="164" fontId="7" fillId="0" borderId="0" xfId="3" applyFont="1" applyAlignment="1" applyProtection="1">
      <alignment horizontal="left"/>
      <protection locked="0"/>
    </xf>
    <xf numFmtId="164" fontId="7" fillId="0" borderId="0" xfId="3" applyFont="1" applyAlignment="1" applyProtection="1">
      <alignment horizontal="right"/>
      <protection locked="0"/>
    </xf>
    <xf numFmtId="3" fontId="7" fillId="0" borderId="0" xfId="3" applyNumberFormat="1" applyFont="1" applyProtection="1">
      <protection locked="0"/>
    </xf>
    <xf numFmtId="3" fontId="7" fillId="0" borderId="1" xfId="3" applyNumberFormat="1" applyFont="1" applyBorder="1" applyProtection="1">
      <protection locked="0"/>
    </xf>
    <xf numFmtId="3" fontId="7" fillId="0" borderId="0" xfId="3" applyNumberFormat="1" applyFont="1"/>
    <xf numFmtId="3" fontId="7" fillId="0" borderId="0" xfId="3" applyNumberFormat="1" applyFont="1" applyBorder="1" applyProtection="1">
      <protection locked="0"/>
    </xf>
    <xf numFmtId="166" fontId="7" fillId="0" borderId="0" xfId="3" applyNumberFormat="1" applyFont="1" applyProtection="1">
      <protection locked="0"/>
    </xf>
    <xf numFmtId="0" fontId="7" fillId="0" borderId="0" xfId="31" quotePrefix="1" applyFont="1"/>
    <xf numFmtId="3" fontId="7" fillId="0" borderId="0" xfId="2" applyNumberFormat="1" applyFont="1" applyAlignment="1" applyProtection="1">
      <alignment horizontal="right"/>
      <protection locked="0"/>
    </xf>
    <xf numFmtId="167" fontId="7" fillId="0" borderId="0" xfId="3" applyNumberFormat="1" applyFont="1" applyAlignment="1">
      <alignment horizontal="left"/>
    </xf>
    <xf numFmtId="164" fontId="7" fillId="0" borderId="0" xfId="3" applyFont="1" applyProtection="1">
      <protection locked="0"/>
    </xf>
    <xf numFmtId="167" fontId="7" fillId="0" borderId="0" xfId="3" applyNumberFormat="1" applyFont="1" applyAlignment="1" applyProtection="1">
      <alignment horizontal="left"/>
      <protection locked="0"/>
    </xf>
    <xf numFmtId="3" fontId="7" fillId="0" borderId="0" xfId="4" applyNumberFormat="1" applyFont="1" applyProtection="1">
      <protection locked="0"/>
    </xf>
    <xf numFmtId="3" fontId="7" fillId="0" borderId="1" xfId="4" applyNumberFormat="1" applyFont="1" applyBorder="1" applyProtection="1">
      <protection locked="0"/>
    </xf>
    <xf numFmtId="3" fontId="7" fillId="0" borderId="2" xfId="4" applyNumberFormat="1" applyFont="1" applyBorder="1" applyProtection="1">
      <protection locked="0"/>
    </xf>
    <xf numFmtId="165" fontId="7" fillId="0" borderId="0" xfId="4" applyNumberFormat="1" applyFont="1" applyAlignment="1" applyProtection="1">
      <alignment horizontal="left"/>
      <protection locked="0"/>
    </xf>
    <xf numFmtId="3" fontId="7" fillId="0" borderId="0" xfId="4" applyNumberFormat="1" applyFont="1"/>
    <xf numFmtId="166" fontId="7" fillId="0" borderId="0" xfId="4" applyNumberFormat="1" applyFont="1" applyAlignment="1" applyProtection="1">
      <alignment horizontal="left"/>
      <protection locked="0"/>
    </xf>
    <xf numFmtId="3" fontId="7" fillId="0" borderId="0" xfId="4" applyNumberFormat="1" applyFont="1" applyBorder="1" applyProtection="1">
      <protection locked="0"/>
    </xf>
    <xf numFmtId="164" fontId="7" fillId="0" borderId="0" xfId="4" applyFont="1" applyProtection="1">
      <protection locked="0"/>
    </xf>
    <xf numFmtId="164" fontId="7" fillId="0" borderId="0" xfId="76" applyFont="1" applyAlignment="1" applyProtection="1">
      <alignment horizontal="left"/>
      <protection locked="0"/>
    </xf>
    <xf numFmtId="164" fontId="7" fillId="0" borderId="0" xfId="76" applyFont="1"/>
    <xf numFmtId="164" fontId="7" fillId="0" borderId="0" xfId="76" applyFont="1" applyAlignment="1" applyProtection="1">
      <alignment horizontal="right"/>
      <protection locked="0"/>
    </xf>
    <xf numFmtId="3" fontId="7" fillId="0" borderId="0" xfId="76" applyNumberFormat="1" applyFont="1" applyProtection="1">
      <protection locked="0"/>
    </xf>
    <xf numFmtId="3" fontId="7" fillId="0" borderId="1" xfId="76" applyNumberFormat="1" applyFont="1" applyBorder="1" applyProtection="1">
      <protection locked="0"/>
    </xf>
    <xf numFmtId="3" fontId="7" fillId="0" borderId="0" xfId="76" applyNumberFormat="1" applyFont="1"/>
    <xf numFmtId="165" fontId="7" fillId="0" borderId="0" xfId="76" applyNumberFormat="1" applyFont="1" applyAlignment="1" applyProtection="1">
      <alignment horizontal="left"/>
      <protection locked="0"/>
    </xf>
    <xf numFmtId="3" fontId="7" fillId="0" borderId="2" xfId="76" applyNumberFormat="1" applyFont="1" applyBorder="1" applyProtection="1">
      <protection locked="0"/>
    </xf>
    <xf numFmtId="167" fontId="7" fillId="0" borderId="0" xfId="76" applyNumberFormat="1" applyFont="1" applyAlignment="1" applyProtection="1">
      <alignment horizontal="left"/>
      <protection locked="0"/>
    </xf>
    <xf numFmtId="164" fontId="7" fillId="0" borderId="0" xfId="76" applyFont="1" applyProtection="1">
      <protection locked="0"/>
    </xf>
    <xf numFmtId="0" fontId="7" fillId="0" borderId="0" xfId="31" applyFont="1" applyBorder="1" applyAlignment="1" applyProtection="1">
      <alignment horizontal="center"/>
      <protection locked="0"/>
    </xf>
    <xf numFmtId="164" fontId="7" fillId="0" borderId="0" xfId="76" applyFont="1" applyAlignment="1"/>
    <xf numFmtId="0" fontId="7" fillId="0" borderId="0" xfId="31" applyFont="1" applyAlignment="1">
      <alignment horizontal="center"/>
    </xf>
    <xf numFmtId="167" fontId="7" fillId="0" borderId="0" xfId="76" applyNumberFormat="1" applyFont="1" applyAlignment="1">
      <alignment horizontal="left"/>
    </xf>
    <xf numFmtId="164" fontId="8" fillId="2" borderId="0" xfId="77" applyFont="1" applyFill="1"/>
    <xf numFmtId="164" fontId="8" fillId="2" borderId="0" xfId="77" applyFont="1" applyFill="1" applyAlignment="1">
      <alignment horizontal="left"/>
    </xf>
    <xf numFmtId="164" fontId="8" fillId="2" borderId="0" xfId="77" applyFont="1" applyFill="1" applyAlignment="1" applyProtection="1">
      <alignment horizontal="left"/>
      <protection locked="0"/>
    </xf>
    <xf numFmtId="3" fontId="8" fillId="2" borderId="0" xfId="77" applyNumberFormat="1" applyFont="1" applyFill="1" applyProtection="1">
      <protection locked="0"/>
    </xf>
    <xf numFmtId="3" fontId="8" fillId="2" borderId="1" xfId="77" applyNumberFormat="1" applyFont="1" applyFill="1" applyBorder="1" applyProtection="1">
      <protection locked="0"/>
    </xf>
    <xf numFmtId="3" fontId="8" fillId="2" borderId="0" xfId="77" applyNumberFormat="1" applyFont="1" applyFill="1"/>
    <xf numFmtId="165" fontId="8" fillId="2" borderId="0" xfId="77" applyNumberFormat="1" applyFont="1" applyFill="1" applyAlignment="1" applyProtection="1">
      <alignment horizontal="left"/>
      <protection locked="0"/>
    </xf>
    <xf numFmtId="3" fontId="8" fillId="2" borderId="1" xfId="77" applyNumberFormat="1" applyFont="1" applyFill="1" applyBorder="1"/>
    <xf numFmtId="3" fontId="8" fillId="2" borderId="2" xfId="77" applyNumberFormat="1" applyFont="1" applyFill="1" applyBorder="1"/>
    <xf numFmtId="3" fontId="8" fillId="2" borderId="0" xfId="77" applyNumberFormat="1" applyFont="1" applyFill="1" applyBorder="1" applyProtection="1">
      <protection locked="0"/>
    </xf>
    <xf numFmtId="167" fontId="8" fillId="2" borderId="0" xfId="77" applyNumberFormat="1" applyFont="1" applyFill="1" applyAlignment="1" applyProtection="1">
      <alignment horizontal="left"/>
      <protection locked="0"/>
    </xf>
    <xf numFmtId="164" fontId="8" fillId="2" borderId="0" xfId="10" applyFont="1" applyFill="1"/>
    <xf numFmtId="164" fontId="8" fillId="2" borderId="0" xfId="77" applyFont="1" applyFill="1" applyProtection="1">
      <protection locked="0"/>
    </xf>
    <xf numFmtId="0" fontId="14" fillId="0" borderId="0" xfId="31" applyFont="1" applyBorder="1" applyAlignment="1" applyProtection="1">
      <protection locked="0"/>
    </xf>
    <xf numFmtId="164" fontId="7" fillId="0" borderId="0" xfId="77" applyFont="1"/>
    <xf numFmtId="164" fontId="7" fillId="0" borderId="0" xfId="77" applyFont="1" applyAlignment="1">
      <alignment horizontal="left"/>
    </xf>
    <xf numFmtId="164" fontId="8" fillId="0" borderId="0" xfId="78" applyFont="1" applyAlignment="1" applyProtection="1">
      <alignment horizontal="left"/>
      <protection locked="0"/>
    </xf>
    <xf numFmtId="164" fontId="8" fillId="0" borderId="0" xfId="78" applyFont="1"/>
    <xf numFmtId="164" fontId="7" fillId="0" borderId="0" xfId="78" applyFont="1"/>
    <xf numFmtId="3" fontId="8" fillId="0" borderId="0" xfId="78" applyNumberFormat="1" applyFont="1" applyProtection="1">
      <protection locked="0"/>
    </xf>
    <xf numFmtId="164" fontId="8" fillId="2" borderId="0" xfId="79" applyFont="1" applyFill="1" applyAlignment="1" applyProtection="1">
      <alignment horizontal="left"/>
      <protection locked="0"/>
    </xf>
    <xf numFmtId="164" fontId="8" fillId="2" borderId="0" xfId="79" applyFont="1" applyFill="1"/>
    <xf numFmtId="164" fontId="8" fillId="2" borderId="0" xfId="79" applyFont="1" applyFill="1" applyAlignment="1" applyProtection="1">
      <alignment horizontal="right"/>
      <protection locked="0"/>
    </xf>
    <xf numFmtId="164" fontId="7" fillId="0" borderId="0" xfId="79" applyFont="1"/>
    <xf numFmtId="3" fontId="8" fillId="2" borderId="0" xfId="79" applyNumberFormat="1" applyFont="1" applyFill="1" applyProtection="1">
      <protection locked="0"/>
    </xf>
    <xf numFmtId="3" fontId="8" fillId="2" borderId="1" xfId="79" applyNumberFormat="1" applyFont="1" applyFill="1" applyBorder="1" applyProtection="1">
      <protection locked="0"/>
    </xf>
    <xf numFmtId="3" fontId="8" fillId="2" borderId="1" xfId="10" applyNumberFormat="1" applyFont="1" applyFill="1" applyBorder="1"/>
    <xf numFmtId="3" fontId="8" fillId="2" borderId="0" xfId="10" applyNumberFormat="1" applyFont="1" applyFill="1" applyBorder="1"/>
    <xf numFmtId="165" fontId="8" fillId="2" borderId="0" xfId="79" applyNumberFormat="1" applyFont="1" applyFill="1" applyAlignment="1" applyProtection="1">
      <alignment horizontal="left"/>
      <protection locked="0"/>
    </xf>
    <xf numFmtId="3" fontId="8" fillId="2" borderId="0" xfId="79" applyNumberFormat="1" applyFont="1" applyFill="1"/>
    <xf numFmtId="3" fontId="8" fillId="2" borderId="0" xfId="79" applyNumberFormat="1" applyFont="1" applyFill="1" applyBorder="1" applyProtection="1">
      <protection locked="0"/>
    </xf>
    <xf numFmtId="3" fontId="8" fillId="2" borderId="2" xfId="79" applyNumberFormat="1" applyFont="1" applyFill="1" applyBorder="1" applyProtection="1">
      <protection locked="0"/>
    </xf>
    <xf numFmtId="166" fontId="8" fillId="2" borderId="0" xfId="79" applyNumberFormat="1" applyFont="1" applyFill="1" applyProtection="1">
      <protection locked="0"/>
    </xf>
    <xf numFmtId="167" fontId="8" fillId="2" borderId="0" xfId="79" applyNumberFormat="1" applyFont="1" applyFill="1" applyAlignment="1" applyProtection="1">
      <alignment horizontal="left"/>
      <protection locked="0"/>
    </xf>
    <xf numFmtId="3" fontId="8" fillId="2" borderId="0" xfId="10" applyNumberFormat="1" applyFont="1" applyFill="1"/>
    <xf numFmtId="164" fontId="8" fillId="2" borderId="0" xfId="79" applyFont="1" applyFill="1" applyProtection="1">
      <protection locked="0"/>
    </xf>
    <xf numFmtId="164" fontId="8" fillId="0" borderId="0" xfId="79" applyFont="1"/>
    <xf numFmtId="164" fontId="7" fillId="0" borderId="0" xfId="80" applyFont="1" applyAlignment="1" applyProtection="1">
      <alignment horizontal="left"/>
      <protection locked="0"/>
    </xf>
    <xf numFmtId="164" fontId="7" fillId="0" borderId="0" xfId="80" applyFont="1"/>
    <xf numFmtId="164" fontId="7" fillId="0" borderId="0" xfId="80" applyFont="1" applyAlignment="1" applyProtection="1">
      <alignment horizontal="right"/>
      <protection locked="0"/>
    </xf>
    <xf numFmtId="3" fontId="7" fillId="0" borderId="0" xfId="80" applyNumberFormat="1" applyFont="1" applyProtection="1">
      <protection locked="0"/>
    </xf>
    <xf numFmtId="3" fontId="7" fillId="0" borderId="0" xfId="80" applyNumberFormat="1" applyFont="1"/>
    <xf numFmtId="165" fontId="7" fillId="0" borderId="0" xfId="80" applyNumberFormat="1" applyFont="1" applyAlignment="1" applyProtection="1">
      <alignment horizontal="left"/>
      <protection locked="0"/>
    </xf>
    <xf numFmtId="3" fontId="7" fillId="0" borderId="1" xfId="80" applyNumberFormat="1" applyFont="1" applyBorder="1" applyProtection="1">
      <protection locked="0"/>
    </xf>
    <xf numFmtId="3" fontId="7" fillId="0" borderId="0" xfId="80" applyNumberFormat="1" applyFont="1" applyBorder="1" applyProtection="1">
      <protection locked="0"/>
    </xf>
    <xf numFmtId="166" fontId="7" fillId="0" borderId="0" xfId="80" applyNumberFormat="1" applyFont="1" applyProtection="1">
      <protection locked="0"/>
    </xf>
    <xf numFmtId="167" fontId="7" fillId="0" borderId="0" xfId="80" applyNumberFormat="1" applyFont="1" applyAlignment="1" applyProtection="1">
      <alignment horizontal="left"/>
      <protection locked="0"/>
    </xf>
    <xf numFmtId="164" fontId="7" fillId="0" borderId="0" xfId="80" applyFont="1" applyProtection="1">
      <protection locked="0"/>
    </xf>
    <xf numFmtId="164" fontId="7" fillId="0" borderId="0" xfId="23" applyFont="1" applyAlignment="1" applyProtection="1">
      <alignment horizontal="left"/>
      <protection locked="0"/>
    </xf>
    <xf numFmtId="3" fontId="7" fillId="0" borderId="0" xfId="23" applyNumberFormat="1" applyFont="1" applyProtection="1">
      <protection locked="0"/>
    </xf>
    <xf numFmtId="3" fontId="7" fillId="0" borderId="0" xfId="23" applyNumberFormat="1" applyFont="1"/>
    <xf numFmtId="165" fontId="7" fillId="0" borderId="0" xfId="23" applyNumberFormat="1" applyFont="1" applyAlignment="1" applyProtection="1">
      <alignment horizontal="left"/>
      <protection locked="0"/>
    </xf>
    <xf numFmtId="3" fontId="7" fillId="0" borderId="1" xfId="23" applyNumberFormat="1" applyFont="1" applyBorder="1" applyProtection="1">
      <protection locked="0"/>
    </xf>
    <xf numFmtId="3" fontId="7" fillId="0" borderId="0" xfId="23" applyNumberFormat="1" applyFont="1" applyBorder="1" applyProtection="1">
      <protection locked="0"/>
    </xf>
    <xf numFmtId="3" fontId="7" fillId="0" borderId="2" xfId="23" applyNumberFormat="1" applyFont="1" applyBorder="1" applyProtection="1">
      <protection locked="0"/>
    </xf>
    <xf numFmtId="167" fontId="7" fillId="0" borderId="0" xfId="23" applyNumberFormat="1" applyFont="1" applyAlignment="1">
      <alignment horizontal="left"/>
    </xf>
    <xf numFmtId="164" fontId="7" fillId="0" borderId="0" xfId="23" applyFont="1" applyProtection="1">
      <protection locked="0"/>
    </xf>
    <xf numFmtId="164" fontId="7" fillId="0" borderId="0" xfId="81" applyFont="1" applyAlignment="1" applyProtection="1">
      <alignment horizontal="left"/>
      <protection locked="0"/>
    </xf>
    <xf numFmtId="164" fontId="7" fillId="0" borderId="0" xfId="81" applyFont="1"/>
    <xf numFmtId="164" fontId="7" fillId="0" borderId="0" xfId="81" applyFont="1" applyAlignment="1" applyProtection="1">
      <alignment horizontal="right"/>
      <protection locked="0"/>
    </xf>
    <xf numFmtId="3" fontId="7" fillId="0" borderId="0" xfId="81" applyNumberFormat="1" applyFont="1" applyProtection="1">
      <protection locked="0"/>
    </xf>
    <xf numFmtId="3" fontId="7" fillId="0" borderId="0" xfId="81" applyNumberFormat="1" applyFont="1"/>
    <xf numFmtId="165" fontId="7" fillId="0" borderId="0" xfId="81" applyNumberFormat="1" applyFont="1" applyAlignment="1" applyProtection="1">
      <alignment horizontal="left"/>
      <protection locked="0"/>
    </xf>
    <xf numFmtId="3" fontId="7" fillId="0" borderId="1" xfId="81" applyNumberFormat="1" applyFont="1" applyBorder="1" applyProtection="1">
      <protection locked="0"/>
    </xf>
    <xf numFmtId="164" fontId="7" fillId="0" borderId="0" xfId="81" applyFont="1" applyProtection="1">
      <protection locked="0"/>
    </xf>
    <xf numFmtId="167" fontId="7" fillId="0" borderId="0" xfId="81" applyNumberFormat="1" applyFont="1" applyAlignment="1" applyProtection="1">
      <alignment horizontal="left"/>
      <protection locked="0"/>
    </xf>
    <xf numFmtId="167" fontId="7" fillId="0" borderId="0" xfId="81" applyNumberFormat="1" applyFont="1" applyAlignment="1">
      <alignment horizontal="left"/>
    </xf>
    <xf numFmtId="164" fontId="7" fillId="0" borderId="0" xfId="2" applyFont="1" applyAlignment="1" applyProtection="1">
      <alignment horizontal="center"/>
      <protection locked="0"/>
    </xf>
  </cellXfs>
  <cellStyles count="82">
    <cellStyle name="Normal" xfId="0" builtinId="0"/>
    <cellStyle name="Normal 2" xfId="16"/>
    <cellStyle name="Normal 3" xfId="31"/>
    <cellStyle name="Normal_AVON" xfId="1"/>
    <cellStyle name="Normal_BARKDAG" xfId="38"/>
    <cellStyle name="Normal_BARNET" xfId="39"/>
    <cellStyle name="Normal_BEDS" xfId="2"/>
    <cellStyle name="Normal_BERKS" xfId="3"/>
    <cellStyle name="Normal_BEXGREEN" xfId="41"/>
    <cellStyle name="Normal_BEXGREEN (2)" xfId="50"/>
    <cellStyle name="Normal_BRENT" xfId="42"/>
    <cellStyle name="Normal_BROMLEY" xfId="44"/>
    <cellStyle name="Normal_BUCKS" xfId="4"/>
    <cellStyle name="Normal_CAMBS" xfId="34"/>
    <cellStyle name="Normal_CAMDEN" xfId="40"/>
    <cellStyle name="Normal_CHESHIRE" xfId="73"/>
    <cellStyle name="Normal_CLEVELAND" xfId="32"/>
    <cellStyle name="Normal_CORNWALL" xfId="5"/>
    <cellStyle name="Normal_CROYDON" xfId="45"/>
    <cellStyle name="Normal_CUMBRIA" xfId="74"/>
    <cellStyle name="Normal_DERBY" xfId="24"/>
    <cellStyle name="Normal_DEVON" xfId="6"/>
    <cellStyle name="Normal_DORSET" xfId="7"/>
    <cellStyle name="Normal_DURHAM" xfId="8"/>
    <cellStyle name="Normal_EALIHAMM (2)" xfId="47"/>
    <cellStyle name="Normal_ENFIELD" xfId="49"/>
    <cellStyle name="Normal_ENGLAN99" xfId="28"/>
    <cellStyle name="Normal_ENGLAND" xfId="9"/>
    <cellStyle name="Normal_ENGLAND2000" xfId="10"/>
    <cellStyle name="Normal_ESSEX" xfId="35"/>
    <cellStyle name="Normal_ESUSSEX" xfId="76"/>
    <cellStyle name="Normal_GLOUCS" xfId="11"/>
    <cellStyle name="Normal_GTRMANCHESTER" xfId="54"/>
    <cellStyle name="Normal_HACKNEY" xfId="51"/>
    <cellStyle name="Normal_HACKNEY_HACKNEY" xfId="53"/>
    <cellStyle name="Normal_HAMPSHIR" xfId="77"/>
    <cellStyle name="Normal_HARINGEY" xfId="55"/>
    <cellStyle name="Normal_HARROW" xfId="56"/>
    <cellStyle name="Normal_HAVERING" xfId="57"/>
    <cellStyle name="Normal_HERTS" xfId="12"/>
    <cellStyle name="Normal_HILLINGD" xfId="58"/>
    <cellStyle name="Normal_HOUNSLOW" xfId="48"/>
    <cellStyle name="Normal_HUMBER" xfId="69"/>
    <cellStyle name="Normal_IOWIGHT" xfId="78"/>
    <cellStyle name="Normal_ISLINGTO" xfId="59"/>
    <cellStyle name="Normal_KENCHEWM" xfId="43"/>
    <cellStyle name="Normal_KENT" xfId="79"/>
    <cellStyle name="Normal_KINGRICH" xfId="60"/>
    <cellStyle name="Normal_LAMSOUTH" xfId="46"/>
    <cellStyle name="Normal_LAMSOUTH (2)" xfId="61"/>
    <cellStyle name="Normal_LANCS" xfId="36"/>
    <cellStyle name="Normal_LEICS" xfId="25"/>
    <cellStyle name="Normal_LEWISHAM" xfId="62"/>
    <cellStyle name="Normal_LINCS" xfId="13"/>
    <cellStyle name="Normal_MERSEY" xfId="75"/>
    <cellStyle name="Normal_MERTON" xfId="63"/>
    <cellStyle name="Normal_NEWTOWER (2)" xfId="52"/>
    <cellStyle name="Normal_NEWTOWER (2)_Newham and Tower Hamlets" xfId="68"/>
    <cellStyle name="Normal_NORFOLK" xfId="30"/>
    <cellStyle name="Normal_NORTHAMPTONSHIRE" xfId="26"/>
    <cellStyle name="Normal_NORTHUMB" xfId="18"/>
    <cellStyle name="Normal_NOTTS" xfId="27"/>
    <cellStyle name="Normal_NYORKS" xfId="70"/>
    <cellStyle name="Normal_OXFORD" xfId="80"/>
    <cellStyle name="Normal_REDWALTH" xfId="66"/>
    <cellStyle name="Normal_REDWALTH (2)" xfId="67"/>
    <cellStyle name="Normal_Sheet1 2" xfId="29"/>
    <cellStyle name="Normal_SHROPSHIRE" xfId="19"/>
    <cellStyle name="Normal_SOMERSET" xfId="14"/>
    <cellStyle name="Normal_STAFFS" xfId="20"/>
    <cellStyle name="Normal_STHYORKS" xfId="72"/>
    <cellStyle name="Normal_SUFFOLK" xfId="37"/>
    <cellStyle name="Normal_SURREY" xfId="23"/>
    <cellStyle name="Normal_SUTTON" xfId="64"/>
    <cellStyle name="Normal_TYNEWEAR" xfId="33"/>
    <cellStyle name="Normal_WANDSWORTH" xfId="65"/>
    <cellStyle name="Normal_WARWICK" xfId="22"/>
    <cellStyle name="Normal_WESTMIDL" xfId="21"/>
    <cellStyle name="Normal_WESTYORKS" xfId="71"/>
    <cellStyle name="Normal_WILTS" xfId="15"/>
    <cellStyle name="Normal_WORCS" xfId="17"/>
    <cellStyle name="Normal_WSUSSEX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469"/>
  <sheetViews>
    <sheetView showGridLines="0" tabSelected="1" zoomScale="83" zoomScaleNormal="83" workbookViewId="0"/>
  </sheetViews>
  <sheetFormatPr defaultColWidth="12.59765625" defaultRowHeight="14.5"/>
  <cols>
    <col min="1" max="1" width="46.3984375" style="2" bestFit="1" customWidth="1"/>
    <col min="2" max="2" width="12.59765625" style="2" customWidth="1"/>
    <col min="3" max="3" width="5.69921875" style="2" customWidth="1"/>
    <col min="4" max="4" width="10.69921875" style="2" customWidth="1"/>
    <col min="5" max="16384" width="12.59765625" style="2"/>
  </cols>
  <sheetData>
    <row r="1" spans="1:4">
      <c r="A1" s="50"/>
      <c r="B1" s="131" t="s">
        <v>787</v>
      </c>
      <c r="C1" s="132"/>
      <c r="D1" s="133" t="s">
        <v>788</v>
      </c>
    </row>
    <row r="2" spans="1:4">
      <c r="A2" s="52" t="s">
        <v>10570</v>
      </c>
      <c r="B2" s="134">
        <v>2016</v>
      </c>
      <c r="C2" s="134"/>
      <c r="D2" s="134">
        <v>2016</v>
      </c>
    </row>
    <row r="3" spans="1:4">
      <c r="A3" s="43" t="s">
        <v>4038</v>
      </c>
      <c r="B3" s="44">
        <f>DERBYSHIRE!D7</f>
        <v>90840</v>
      </c>
      <c r="C3" s="45"/>
      <c r="D3" s="46">
        <f t="shared" ref="D3:D13" si="0">B3/$B$469</f>
        <v>1.2149420214259921</v>
      </c>
    </row>
    <row r="4" spans="1:4">
      <c r="A4" s="43" t="s">
        <v>4039</v>
      </c>
      <c r="B4" s="44">
        <f>DERBYSHIRE!D8</f>
        <v>56533</v>
      </c>
      <c r="C4" s="45"/>
      <c r="D4" s="46">
        <f t="shared" si="0"/>
        <v>0.75610212788722597</v>
      </c>
    </row>
    <row r="5" spans="1:4">
      <c r="A5" s="43" t="s">
        <v>4040</v>
      </c>
      <c r="B5" s="44">
        <f>DERBYSHIRE!D9</f>
        <v>79028</v>
      </c>
      <c r="C5" s="45"/>
      <c r="D5" s="46">
        <f t="shared" si="0"/>
        <v>1.0569621099653599</v>
      </c>
    </row>
    <row r="6" spans="1:4">
      <c r="A6" s="43" t="s">
        <v>4041</v>
      </c>
      <c r="B6" s="44">
        <f>DERBYSHIRE!D10</f>
        <v>54902</v>
      </c>
      <c r="C6" s="45"/>
      <c r="D6" s="46">
        <f t="shared" si="0"/>
        <v>0.73428827455228773</v>
      </c>
    </row>
    <row r="7" spans="1:4">
      <c r="A7" s="43" t="s">
        <v>4042</v>
      </c>
      <c r="B7" s="44">
        <f>DERBYSHIRE!D11</f>
        <v>84625</v>
      </c>
      <c r="C7" s="45"/>
      <c r="D7" s="46">
        <f t="shared" si="0"/>
        <v>1.1318193368909575</v>
      </c>
    </row>
    <row r="8" spans="1:4">
      <c r="A8" s="43" t="s">
        <v>4043</v>
      </c>
      <c r="B8" s="44">
        <f>DERBYSHIRE!D12</f>
        <v>71130</v>
      </c>
      <c r="C8" s="45"/>
      <c r="D8" s="46">
        <f t="shared" si="0"/>
        <v>0.95133009669782931</v>
      </c>
    </row>
    <row r="9" spans="1:4">
      <c r="A9" s="43" t="s">
        <v>4044</v>
      </c>
      <c r="B9" s="44">
        <f>DERBYSHIRE!D13</f>
        <v>77256</v>
      </c>
      <c r="C9" s="45"/>
      <c r="D9" s="46">
        <f t="shared" si="0"/>
        <v>1.0332624483408899</v>
      </c>
    </row>
    <row r="10" spans="1:4">
      <c r="A10" s="43" t="s">
        <v>4045</v>
      </c>
      <c r="B10" s="44">
        <f>DERBYSHIRE!D14</f>
        <v>71577</v>
      </c>
      <c r="C10" s="45"/>
      <c r="D10" s="46">
        <f t="shared" si="0"/>
        <v>0.95730851021145125</v>
      </c>
    </row>
    <row r="11" spans="1:4">
      <c r="A11" s="43" t="s">
        <v>4046</v>
      </c>
      <c r="B11" s="47">
        <f>SUM(B3:B10)</f>
        <v>585891</v>
      </c>
      <c r="C11" s="42"/>
      <c r="D11" s="46">
        <f t="shared" si="0"/>
        <v>7.8360149259719938</v>
      </c>
    </row>
    <row r="12" spans="1:4">
      <c r="A12" s="43" t="s">
        <v>4047</v>
      </c>
      <c r="B12" s="44">
        <f>DERBYSHIRE!D4</f>
        <v>170659</v>
      </c>
      <c r="C12" s="45"/>
      <c r="D12" s="46">
        <f t="shared" si="0"/>
        <v>2.2824833821503563</v>
      </c>
    </row>
    <row r="13" spans="1:4">
      <c r="A13" s="48" t="s">
        <v>4048</v>
      </c>
      <c r="B13" s="44">
        <f>B11+B12</f>
        <v>756550</v>
      </c>
      <c r="C13" s="45"/>
      <c r="D13" s="46">
        <f t="shared" si="0"/>
        <v>10.11849830812235</v>
      </c>
    </row>
    <row r="14" spans="1:4">
      <c r="A14" s="42"/>
      <c r="B14" s="42"/>
      <c r="C14" s="42"/>
      <c r="D14" s="46"/>
    </row>
    <row r="15" spans="1:4">
      <c r="A15" s="43" t="s">
        <v>4049</v>
      </c>
      <c r="B15" s="44">
        <f>LEICESTERSHIRE!D8</f>
        <v>72073</v>
      </c>
      <c r="C15" s="45"/>
      <c r="D15" s="46">
        <f t="shared" ref="D15:D25" si="1">B15/$B$469</f>
        <v>0.96394227554200274</v>
      </c>
    </row>
    <row r="16" spans="1:4">
      <c r="A16" s="43" t="s">
        <v>4050</v>
      </c>
      <c r="B16" s="44">
        <f>LEICESTERSHIRE!D9</f>
        <v>127526</v>
      </c>
      <c r="C16" s="45"/>
      <c r="D16" s="46">
        <f t="shared" si="1"/>
        <v>1.7055999144030281</v>
      </c>
    </row>
    <row r="17" spans="1:4">
      <c r="A17" s="43" t="s">
        <v>4051</v>
      </c>
      <c r="B17" s="44">
        <f>LEICESTERSHIRE!D10</f>
        <v>63449</v>
      </c>
      <c r="C17" s="45"/>
      <c r="D17" s="46">
        <f t="shared" si="1"/>
        <v>0.84860035576241488</v>
      </c>
    </row>
    <row r="18" spans="1:4">
      <c r="A18" s="43" t="s">
        <v>4052</v>
      </c>
      <c r="B18" s="44">
        <f>LEICESTERSHIRE!D11</f>
        <v>83628</v>
      </c>
      <c r="C18" s="45"/>
      <c r="D18" s="46">
        <f t="shared" si="1"/>
        <v>1.1184849335954741</v>
      </c>
    </row>
    <row r="19" spans="1:4">
      <c r="A19" s="43" t="s">
        <v>4053</v>
      </c>
      <c r="B19" s="44">
        <f>LEICESTERSHIRE!D12</f>
        <v>36820</v>
      </c>
      <c r="C19" s="45"/>
      <c r="D19" s="46">
        <f t="shared" si="1"/>
        <v>0.4924500795784349</v>
      </c>
    </row>
    <row r="20" spans="1:4">
      <c r="A20" s="43" t="s">
        <v>4054</v>
      </c>
      <c r="B20" s="44">
        <f>LEICESTERSHIRE!D13</f>
        <v>71377</v>
      </c>
      <c r="C20" s="45"/>
      <c r="D20" s="46">
        <f t="shared" si="1"/>
        <v>0.95463360483622894</v>
      </c>
    </row>
    <row r="21" spans="1:4">
      <c r="A21" s="43" t="s">
        <v>4055</v>
      </c>
      <c r="B21" s="44">
        <f>LEICESTERSHIRE!D14</f>
        <v>41620</v>
      </c>
      <c r="C21" s="45"/>
      <c r="D21" s="46">
        <f t="shared" si="1"/>
        <v>0.55664780858377139</v>
      </c>
    </row>
    <row r="22" spans="1:4">
      <c r="A22" s="43" t="s">
        <v>4056</v>
      </c>
      <c r="B22" s="47">
        <f>SUM(B15:B21)</f>
        <v>496493</v>
      </c>
      <c r="C22" s="42"/>
      <c r="D22" s="46">
        <f t="shared" si="1"/>
        <v>6.640358972301355</v>
      </c>
    </row>
    <row r="23" spans="1:4">
      <c r="A23" s="43" t="s">
        <v>4057</v>
      </c>
      <c r="B23" s="44">
        <f>LEICESTERSHIRE!D4</f>
        <v>210775</v>
      </c>
      <c r="C23" s="45"/>
      <c r="D23" s="46">
        <f t="shared" si="1"/>
        <v>2.8190159023124557</v>
      </c>
    </row>
    <row r="24" spans="1:4">
      <c r="A24" s="43" t="s">
        <v>4058</v>
      </c>
      <c r="B24" s="44">
        <f>LEICESTERSHIRE!D5</f>
        <v>27355</v>
      </c>
      <c r="C24" s="45"/>
      <c r="D24" s="46">
        <f t="shared" si="1"/>
        <v>0.36586018269603715</v>
      </c>
    </row>
    <row r="25" spans="1:4">
      <c r="A25" s="48" t="s">
        <v>4059</v>
      </c>
      <c r="B25" s="44">
        <f>SUM(B22:B24)</f>
        <v>734623</v>
      </c>
      <c r="C25" s="45"/>
      <c r="D25" s="46">
        <f t="shared" si="1"/>
        <v>9.8252350573098468</v>
      </c>
    </row>
    <row r="26" spans="1:4">
      <c r="A26" s="42"/>
      <c r="B26" s="47"/>
      <c r="C26" s="42"/>
      <c r="D26" s="46"/>
    </row>
    <row r="27" spans="1:4">
      <c r="A27" s="43" t="s">
        <v>4060</v>
      </c>
      <c r="B27" s="44">
        <f>LINCOLNSHIRE!D5</f>
        <v>39834</v>
      </c>
      <c r="C27" s="45"/>
      <c r="D27" s="46">
        <f t="shared" ref="D27:D34" si="2">B27/$B$469</f>
        <v>0.53276090358303574</v>
      </c>
    </row>
    <row r="28" spans="1:4">
      <c r="A28" s="43" t="s">
        <v>4061</v>
      </c>
      <c r="B28" s="44">
        <f>LINCOLNSHIRE!D6</f>
        <v>102964</v>
      </c>
      <c r="C28" s="45"/>
      <c r="D28" s="46">
        <f t="shared" si="2"/>
        <v>1.377094785271971</v>
      </c>
    </row>
    <row r="29" spans="1:4">
      <c r="A29" s="43" t="s">
        <v>4062</v>
      </c>
      <c r="B29" s="44">
        <f>LINCOLNSHIRE!D7</f>
        <v>57705</v>
      </c>
      <c r="C29" s="45"/>
      <c r="D29" s="46">
        <f t="shared" si="2"/>
        <v>0.77177707338602897</v>
      </c>
    </row>
    <row r="30" spans="1:4">
      <c r="A30" s="43" t="s">
        <v>4063</v>
      </c>
      <c r="B30" s="44">
        <f>LINCOLNSHIRE!D8</f>
        <v>83059</v>
      </c>
      <c r="C30" s="45"/>
      <c r="D30" s="46">
        <f t="shared" si="2"/>
        <v>1.1108748278029665</v>
      </c>
    </row>
    <row r="31" spans="1:4">
      <c r="A31" s="43" t="s">
        <v>4064</v>
      </c>
      <c r="B31" s="44">
        <f>LINCOLNSHIRE!D9</f>
        <v>63636</v>
      </c>
      <c r="C31" s="45"/>
      <c r="D31" s="46">
        <f t="shared" si="2"/>
        <v>0.85110139228824777</v>
      </c>
    </row>
    <row r="32" spans="1:4">
      <c r="A32" s="43" t="s">
        <v>4065</v>
      </c>
      <c r="B32" s="44">
        <f>LINCOLNSHIRE!D10</f>
        <v>101682</v>
      </c>
      <c r="C32" s="45"/>
      <c r="D32" s="46">
        <f t="shared" si="2"/>
        <v>1.3599486418167956</v>
      </c>
    </row>
    <row r="33" spans="1:4">
      <c r="A33" s="43" t="s">
        <v>4066</v>
      </c>
      <c r="B33" s="44">
        <f>LINCOLNSHIRE!D11</f>
        <v>72401</v>
      </c>
      <c r="C33" s="45"/>
      <c r="D33" s="46">
        <f t="shared" si="2"/>
        <v>0.9683291203573674</v>
      </c>
    </row>
    <row r="34" spans="1:4">
      <c r="A34" s="43" t="s">
        <v>4067</v>
      </c>
      <c r="B34" s="44">
        <f>SUM(B27:B33)</f>
        <v>521281</v>
      </c>
      <c r="C34" s="45"/>
      <c r="D34" s="46">
        <f t="shared" si="2"/>
        <v>6.9718867445064134</v>
      </c>
    </row>
    <row r="35" spans="1:4">
      <c r="A35" s="42"/>
      <c r="B35" s="42"/>
      <c r="C35" s="42"/>
      <c r="D35" s="46"/>
    </row>
    <row r="36" spans="1:4">
      <c r="A36" s="43" t="s">
        <v>4068</v>
      </c>
      <c r="B36" s="44">
        <f>NORTHAMPTONSHIRE!D5</f>
        <v>43281</v>
      </c>
      <c r="C36" s="45"/>
      <c r="D36" s="46">
        <f t="shared" ref="D36:D43" si="3">B36/$B$469</f>
        <v>0.578862897724993</v>
      </c>
    </row>
    <row r="37" spans="1:4">
      <c r="A37" s="43" t="s">
        <v>4069</v>
      </c>
      <c r="B37" s="44">
        <f>NORTHAMPTONSHIRE!D6</f>
        <v>58392</v>
      </c>
      <c r="C37" s="45"/>
      <c r="D37" s="46">
        <f t="shared" si="3"/>
        <v>0.78096537334991778</v>
      </c>
    </row>
    <row r="38" spans="1:4">
      <c r="A38" s="43" t="s">
        <v>4070</v>
      </c>
      <c r="B38" s="44">
        <f>NORTHAMPTONSHIRE!D7</f>
        <v>64731</v>
      </c>
      <c r="C38" s="45"/>
      <c r="D38" s="46">
        <f t="shared" si="3"/>
        <v>0.86574649921759017</v>
      </c>
    </row>
    <row r="39" spans="1:4">
      <c r="A39" s="43" t="s">
        <v>4071</v>
      </c>
      <c r="B39" s="44">
        <f>NORTHAMPTONSHIRE!D8</f>
        <v>68279</v>
      </c>
      <c r="C39" s="45"/>
      <c r="D39" s="46">
        <f t="shared" si="3"/>
        <v>0.91319932057403475</v>
      </c>
    </row>
    <row r="40" spans="1:4">
      <c r="A40" s="43" t="s">
        <v>4072</v>
      </c>
      <c r="B40" s="44">
        <f>NORTHAMPTONSHIRE!D9</f>
        <v>137787</v>
      </c>
      <c r="C40" s="45"/>
      <c r="D40" s="46">
        <f t="shared" si="3"/>
        <v>1.8428359346788108</v>
      </c>
    </row>
    <row r="41" spans="1:4">
      <c r="A41" s="43" t="s">
        <v>4073</v>
      </c>
      <c r="B41" s="44">
        <f>NORTHAMPTONSHIRE!D10</f>
        <v>68535</v>
      </c>
      <c r="C41" s="45"/>
      <c r="D41" s="46">
        <f t="shared" si="3"/>
        <v>0.91662319945431925</v>
      </c>
    </row>
    <row r="42" spans="1:4">
      <c r="A42" s="43" t="s">
        <v>4074</v>
      </c>
      <c r="B42" s="44">
        <f>NORTHAMPTONSHIRE!D11</f>
        <v>52566</v>
      </c>
      <c r="C42" s="45"/>
      <c r="D42" s="46">
        <f t="shared" si="3"/>
        <v>0.70304537976969061</v>
      </c>
    </row>
    <row r="43" spans="1:4">
      <c r="A43" s="43" t="s">
        <v>4075</v>
      </c>
      <c r="B43" s="44">
        <f>SUM(B36:B42)</f>
        <v>493571</v>
      </c>
      <c r="C43" s="45"/>
      <c r="D43" s="46">
        <f t="shared" si="3"/>
        <v>6.6012786047693561</v>
      </c>
    </row>
    <row r="44" spans="1:4">
      <c r="A44" s="42"/>
      <c r="B44" s="42"/>
      <c r="C44" s="42"/>
      <c r="D44" s="46"/>
    </row>
    <row r="45" spans="1:4">
      <c r="A45" s="43" t="s">
        <v>4076</v>
      </c>
      <c r="B45" s="44">
        <f>NOTTINGHAMSHIRE!D7</f>
        <v>90473</v>
      </c>
      <c r="C45" s="45"/>
      <c r="D45" s="46">
        <f t="shared" ref="D45:D54" si="4">B45/$B$469</f>
        <v>1.2100335700624589</v>
      </c>
    </row>
    <row r="46" spans="1:4">
      <c r="A46" s="43" t="s">
        <v>4077</v>
      </c>
      <c r="B46" s="44">
        <f>NOTTINGHAMSHIRE!D8</f>
        <v>83683</v>
      </c>
      <c r="C46" s="45"/>
      <c r="D46" s="46">
        <f t="shared" si="4"/>
        <v>1.1192205325736602</v>
      </c>
    </row>
    <row r="47" spans="1:4">
      <c r="A47" s="43" t="s">
        <v>4078</v>
      </c>
      <c r="B47" s="44">
        <f>NOTTINGHAMSHIRE!D9</f>
        <v>80641</v>
      </c>
      <c r="C47" s="45"/>
      <c r="D47" s="46">
        <f t="shared" si="4"/>
        <v>1.0785352218165283</v>
      </c>
    </row>
    <row r="48" spans="1:4">
      <c r="A48" s="43" t="s">
        <v>4079</v>
      </c>
      <c r="B48" s="44">
        <f>NOTTINGHAMSHIRE!D10</f>
        <v>85825</v>
      </c>
      <c r="C48" s="45"/>
      <c r="D48" s="46">
        <f t="shared" si="4"/>
        <v>1.1478687691422915</v>
      </c>
    </row>
    <row r="49" spans="1:4">
      <c r="A49" s="43" t="s">
        <v>4080</v>
      </c>
      <c r="B49" s="44">
        <f>NOTTINGHAMSHIRE!D11</f>
        <v>74066</v>
      </c>
      <c r="C49" s="45"/>
      <c r="D49" s="46">
        <f t="shared" si="4"/>
        <v>0.99059770760609345</v>
      </c>
    </row>
    <row r="50" spans="1:4">
      <c r="A50" s="43" t="s">
        <v>4081</v>
      </c>
      <c r="B50" s="44">
        <f>NOTTINGHAMSHIRE!D12</f>
        <v>82713</v>
      </c>
      <c r="C50" s="45"/>
      <c r="D50" s="46">
        <f t="shared" si="4"/>
        <v>1.1062472415038318</v>
      </c>
    </row>
    <row r="51" spans="1:4">
      <c r="A51" s="43" t="s">
        <v>4082</v>
      </c>
      <c r="B51" s="44">
        <f>NOTTINGHAMSHIRE!D13</f>
        <v>84249</v>
      </c>
      <c r="C51" s="45"/>
      <c r="D51" s="46">
        <f t="shared" si="4"/>
        <v>1.1267905147855395</v>
      </c>
    </row>
    <row r="52" spans="1:4">
      <c r="A52" s="43" t="s">
        <v>4083</v>
      </c>
      <c r="B52" s="47">
        <f>SUM(B45:B51)</f>
        <v>581650</v>
      </c>
      <c r="C52" s="42"/>
      <c r="D52" s="46">
        <f t="shared" si="4"/>
        <v>7.7792935574904041</v>
      </c>
    </row>
    <row r="53" spans="1:4">
      <c r="A53" s="43" t="s">
        <v>4084</v>
      </c>
      <c r="B53" s="44">
        <f>NOTTINGHAMSHIRE!D4</f>
        <v>187371</v>
      </c>
      <c r="C53" s="45"/>
      <c r="D53" s="46">
        <f t="shared" si="4"/>
        <v>2.5059984753039362</v>
      </c>
    </row>
    <row r="54" spans="1:4">
      <c r="A54" s="48" t="s">
        <v>4085</v>
      </c>
      <c r="B54" s="47">
        <f>B52+B53</f>
        <v>769021</v>
      </c>
      <c r="C54" s="42"/>
      <c r="D54" s="46">
        <f t="shared" si="4"/>
        <v>10.28529203279434</v>
      </c>
    </row>
    <row r="55" spans="1:4">
      <c r="A55" s="42"/>
      <c r="B55" s="42"/>
      <c r="C55" s="42"/>
      <c r="D55" s="46"/>
    </row>
    <row r="56" spans="1:4">
      <c r="A56" s="50" t="s">
        <v>4086</v>
      </c>
      <c r="B56" s="212">
        <f>B13+B25+B34+B43+B54</f>
        <v>3275046</v>
      </c>
      <c r="C56" s="50"/>
      <c r="D56" s="51">
        <f>B56/$B$469</f>
        <v>43.802190747502308</v>
      </c>
    </row>
    <row r="57" spans="1:4">
      <c r="A57" s="42"/>
      <c r="B57" s="47"/>
      <c r="C57" s="42"/>
      <c r="D57" s="46"/>
    </row>
    <row r="58" spans="1:4">
      <c r="A58" s="43" t="s">
        <v>619</v>
      </c>
      <c r="B58" s="44"/>
      <c r="C58" s="45"/>
    </row>
    <row r="59" spans="1:4">
      <c r="A59" s="52"/>
      <c r="B59" s="134"/>
      <c r="C59" s="134"/>
      <c r="D59" s="134"/>
    </row>
    <row r="60" spans="1:4">
      <c r="A60" s="43" t="s">
        <v>6763</v>
      </c>
      <c r="B60" s="44">
        <f>BEDFORDSHIRE!D3</f>
        <v>118210</v>
      </c>
      <c r="C60" s="45"/>
      <c r="D60" s="46">
        <f>B60/$B$469</f>
        <v>1.5810028220251708</v>
      </c>
    </row>
    <row r="61" spans="1:4">
      <c r="A61" s="43" t="s">
        <v>6764</v>
      </c>
      <c r="B61" s="44">
        <f>BEDFORDSHIRE!D4</f>
        <v>197493</v>
      </c>
      <c r="C61" s="45"/>
      <c r="D61" s="46">
        <f>B61/$B$469</f>
        <v>2.6413754363439392</v>
      </c>
    </row>
    <row r="62" spans="1:4">
      <c r="A62" s="43" t="s">
        <v>6765</v>
      </c>
      <c r="B62" s="44">
        <f>BEDFORDSHIRE!D5</f>
        <v>123871</v>
      </c>
      <c r="C62" s="45"/>
      <c r="D62" s="46">
        <f>B62/$B$469</f>
        <v>1.6567160186708396</v>
      </c>
    </row>
    <row r="63" spans="1:4">
      <c r="A63" s="48" t="s">
        <v>6766</v>
      </c>
      <c r="B63" s="44">
        <f>SUM(B60:B62)</f>
        <v>439574</v>
      </c>
      <c r="C63" s="45"/>
      <c r="D63" s="46">
        <f>B63/$B$469</f>
        <v>5.8790942770399495</v>
      </c>
    </row>
    <row r="64" spans="1:4">
      <c r="A64" s="42"/>
      <c r="B64" s="42"/>
      <c r="C64" s="42"/>
      <c r="D64" s="46"/>
    </row>
    <row r="65" spans="1:4">
      <c r="A65" s="43" t="s">
        <v>6767</v>
      </c>
      <c r="B65" s="44">
        <f>CAMBRIDGESHIRE!D7</f>
        <v>72757</v>
      </c>
      <c r="C65" s="45"/>
      <c r="D65" s="46">
        <f t="shared" ref="D65:D72" si="5">B65/$B$469</f>
        <v>0.97309045192526311</v>
      </c>
    </row>
    <row r="66" spans="1:4">
      <c r="A66" s="43" t="s">
        <v>6768</v>
      </c>
      <c r="B66" s="44">
        <f>CAMBRIDGESHIRE!D8</f>
        <v>60605</v>
      </c>
      <c r="C66" s="45"/>
      <c r="D66" s="46">
        <f t="shared" si="5"/>
        <v>0.81056320132675308</v>
      </c>
    </row>
    <row r="67" spans="1:4">
      <c r="A67" s="43" t="s">
        <v>6769</v>
      </c>
      <c r="B67" s="44">
        <f>CAMBRIDGESHIRE!D9</f>
        <v>69319</v>
      </c>
      <c r="C67" s="45"/>
      <c r="D67" s="46">
        <f t="shared" si="5"/>
        <v>0.92710882852519094</v>
      </c>
    </row>
    <row r="68" spans="1:4">
      <c r="A68" s="43" t="s">
        <v>6770</v>
      </c>
      <c r="B68" s="44">
        <f>CAMBRIDGESHIRE!D10</f>
        <v>124073</v>
      </c>
      <c r="C68" s="45"/>
      <c r="D68" s="46">
        <f t="shared" si="5"/>
        <v>1.659417673099814</v>
      </c>
    </row>
    <row r="69" spans="1:4">
      <c r="A69" s="43" t="s">
        <v>6771</v>
      </c>
      <c r="B69" s="44">
        <f>CAMBRIDGESHIRE!D11</f>
        <v>110289</v>
      </c>
      <c r="C69" s="45"/>
      <c r="D69" s="46">
        <f t="shared" si="5"/>
        <v>1.4750631946394896</v>
      </c>
    </row>
    <row r="70" spans="1:4">
      <c r="A70" s="42" t="s">
        <v>6772</v>
      </c>
      <c r="B70" s="47">
        <f>SUM(B65:B69)</f>
        <v>437043</v>
      </c>
      <c r="C70" s="42"/>
      <c r="D70" s="46">
        <f t="shared" si="5"/>
        <v>5.8452433495165108</v>
      </c>
    </row>
    <row r="71" spans="1:4">
      <c r="A71" s="43" t="s">
        <v>6773</v>
      </c>
      <c r="B71" s="44">
        <f>CAMBRIDGESHIRE!D4</f>
        <v>117844</v>
      </c>
      <c r="C71" s="45"/>
      <c r="D71" s="46">
        <f t="shared" si="5"/>
        <v>1.5761077451885139</v>
      </c>
    </row>
    <row r="72" spans="1:4">
      <c r="A72" s="48" t="s">
        <v>6774</v>
      </c>
      <c r="B72" s="44">
        <f>B70+B71</f>
        <v>554887</v>
      </c>
      <c r="C72" s="45"/>
      <c r="D72" s="46">
        <f t="shared" si="5"/>
        <v>7.4213510947050247</v>
      </c>
    </row>
    <row r="73" spans="1:4">
      <c r="A73" s="42"/>
      <c r="B73" s="42"/>
      <c r="C73" s="42"/>
      <c r="D73" s="46"/>
    </row>
    <row r="74" spans="1:4">
      <c r="A74" s="43" t="s">
        <v>6775</v>
      </c>
      <c r="B74" s="44">
        <f>ESSEX!D8</f>
        <v>126526</v>
      </c>
      <c r="C74" s="45"/>
      <c r="D74" s="46">
        <f t="shared" ref="D74:D89" si="6">B74/$B$469</f>
        <v>1.6922253875269162</v>
      </c>
    </row>
    <row r="75" spans="1:4">
      <c r="A75" s="43" t="s">
        <v>6776</v>
      </c>
      <c r="B75" s="44">
        <f>ESSEX!D9</f>
        <v>108866</v>
      </c>
      <c r="C75" s="45"/>
      <c r="D75" s="46">
        <f t="shared" si="6"/>
        <v>1.4560312428947826</v>
      </c>
    </row>
    <row r="76" spans="1:4">
      <c r="A76" s="43" t="s">
        <v>6777</v>
      </c>
      <c r="B76" s="44">
        <f>ESSEX!D10</f>
        <v>56445</v>
      </c>
      <c r="C76" s="45"/>
      <c r="D76" s="46">
        <f t="shared" si="6"/>
        <v>0.75492516952212818</v>
      </c>
    </row>
    <row r="77" spans="1:4">
      <c r="A77" s="43" t="s">
        <v>6778</v>
      </c>
      <c r="B77" s="44">
        <f>ESSEX!D11</f>
        <v>67541</v>
      </c>
      <c r="C77" s="45"/>
      <c r="D77" s="46">
        <f t="shared" si="6"/>
        <v>0.90332891973946416</v>
      </c>
    </row>
    <row r="78" spans="1:4">
      <c r="A78" s="43" t="s">
        <v>6779</v>
      </c>
      <c r="B78" s="44">
        <f>ESSEX!D12</f>
        <v>127528</v>
      </c>
      <c r="C78" s="45"/>
      <c r="D78" s="46">
        <f t="shared" si="6"/>
        <v>1.7056266634567803</v>
      </c>
    </row>
    <row r="79" spans="1:4">
      <c r="A79" s="43" t="s">
        <v>6780</v>
      </c>
      <c r="B79" s="44">
        <f>ESSEX!D13</f>
        <v>120001</v>
      </c>
      <c r="C79" s="45"/>
      <c r="D79" s="46">
        <f t="shared" si="6"/>
        <v>1.604956599660287</v>
      </c>
    </row>
    <row r="80" spans="1:4">
      <c r="A80" s="43" t="s">
        <v>6781</v>
      </c>
      <c r="B80" s="44">
        <f>ESSEX!D14</f>
        <v>97897</v>
      </c>
      <c r="C80" s="45"/>
      <c r="D80" s="46">
        <f t="shared" si="6"/>
        <v>1.3093260575907126</v>
      </c>
    </row>
    <row r="81" spans="1:4">
      <c r="A81" s="43" t="s">
        <v>6782</v>
      </c>
      <c r="B81" s="44">
        <f>ESSEX!D15</f>
        <v>57532</v>
      </c>
      <c r="C81" s="45"/>
      <c r="D81" s="46">
        <f t="shared" si="6"/>
        <v>0.7694632802364616</v>
      </c>
    </row>
    <row r="82" spans="1:4">
      <c r="A82" s="43" t="s">
        <v>6783</v>
      </c>
      <c r="B82" s="44">
        <f>ESSEX!D16</f>
        <v>47312</v>
      </c>
      <c r="C82" s="45"/>
      <c r="D82" s="46">
        <f t="shared" si="6"/>
        <v>0.63277561556259942</v>
      </c>
    </row>
    <row r="83" spans="1:4">
      <c r="A83" s="43" t="s">
        <v>6784</v>
      </c>
      <c r="B83" s="44">
        <f>ESSEX!D17</f>
        <v>64466</v>
      </c>
      <c r="C83" s="45"/>
      <c r="D83" s="46">
        <f t="shared" si="6"/>
        <v>0.86220224959542058</v>
      </c>
    </row>
    <row r="84" spans="1:4">
      <c r="A84" s="43" t="s">
        <v>6785</v>
      </c>
      <c r="B84" s="44">
        <f>ESSEX!D18</f>
        <v>108820</v>
      </c>
      <c r="C84" s="45"/>
      <c r="D84" s="46">
        <f t="shared" si="6"/>
        <v>1.4554160146584814</v>
      </c>
    </row>
    <row r="85" spans="1:4">
      <c r="A85" s="43" t="s">
        <v>6786</v>
      </c>
      <c r="B85" s="44">
        <f>ESSEX!D19</f>
        <v>61702</v>
      </c>
      <c r="C85" s="45"/>
      <c r="D85" s="46">
        <f t="shared" si="6"/>
        <v>0.8252350573098477</v>
      </c>
    </row>
    <row r="86" spans="1:4">
      <c r="A86" s="43" t="s">
        <v>6787</v>
      </c>
      <c r="B86" s="47">
        <f>SUM(B74:B85)</f>
        <v>1044636</v>
      </c>
      <c r="C86" s="42"/>
      <c r="D86" s="46">
        <f t="shared" si="6"/>
        <v>13.971512257753883</v>
      </c>
    </row>
    <row r="87" spans="1:4">
      <c r="A87" s="43" t="s">
        <v>6788</v>
      </c>
      <c r="B87" s="47">
        <f>ESSEX!D4</f>
        <v>123050</v>
      </c>
      <c r="C87" s="45"/>
      <c r="D87" s="46">
        <f t="shared" si="6"/>
        <v>1.6457355321055518</v>
      </c>
    </row>
    <row r="88" spans="1:4">
      <c r="A88" s="43" t="s">
        <v>6789</v>
      </c>
      <c r="B88" s="47">
        <f>ESSEX!D5</f>
        <v>106911</v>
      </c>
      <c r="C88" s="45"/>
      <c r="D88" s="46">
        <f t="shared" si="6"/>
        <v>1.4298840428519841</v>
      </c>
    </row>
    <row r="89" spans="1:4">
      <c r="A89" s="48" t="s">
        <v>6790</v>
      </c>
      <c r="B89" s="44">
        <f>SUM(B86:B88)</f>
        <v>1274597</v>
      </c>
      <c r="C89" s="45"/>
      <c r="D89" s="46">
        <f t="shared" si="6"/>
        <v>17.047131832711418</v>
      </c>
    </row>
    <row r="90" spans="1:4">
      <c r="A90" s="42"/>
      <c r="B90" s="42"/>
      <c r="C90" s="42"/>
      <c r="D90" s="46"/>
    </row>
    <row r="91" spans="1:4">
      <c r="A91" s="43" t="s">
        <v>6791</v>
      </c>
      <c r="B91" s="44">
        <f>HERTFORDSHIRE!D5</f>
        <v>66150</v>
      </c>
      <c r="C91" s="45"/>
      <c r="D91" s="46">
        <f t="shared" ref="D91:D101" si="7">B91/$B$469</f>
        <v>0.8847249528547928</v>
      </c>
    </row>
    <row r="92" spans="1:4">
      <c r="A92" s="43" t="s">
        <v>6792</v>
      </c>
      <c r="B92" s="44">
        <f>HERTFORDSHIRE!D6</f>
        <v>104252</v>
      </c>
      <c r="C92" s="45"/>
      <c r="D92" s="46">
        <f t="shared" si="7"/>
        <v>1.3943211758884029</v>
      </c>
    </row>
    <row r="93" spans="1:4">
      <c r="A93" s="43" t="s">
        <v>6793</v>
      </c>
      <c r="B93" s="44">
        <f>HERTFORDSHIRE!D7</f>
        <v>101155</v>
      </c>
      <c r="C93" s="45"/>
      <c r="D93" s="46">
        <f t="shared" si="7"/>
        <v>1.3529002661530849</v>
      </c>
    </row>
    <row r="94" spans="1:4">
      <c r="A94" s="43" t="s">
        <v>6794</v>
      </c>
      <c r="B94" s="44">
        <f>HERTFORDSHIRE!D8</f>
        <v>69825</v>
      </c>
      <c r="C94" s="45"/>
      <c r="D94" s="46">
        <f t="shared" si="7"/>
        <v>0.93387633912450352</v>
      </c>
    </row>
    <row r="95" spans="1:4">
      <c r="A95" s="43" t="s">
        <v>6795</v>
      </c>
      <c r="B95" s="44">
        <f>HERTFORDSHIRE!D9</f>
        <v>95635</v>
      </c>
      <c r="C95" s="45"/>
      <c r="D95" s="46">
        <f t="shared" si="7"/>
        <v>1.279072877796948</v>
      </c>
    </row>
    <row r="96" spans="1:4">
      <c r="A96" s="43" t="s">
        <v>6796</v>
      </c>
      <c r="B96" s="44">
        <f>HERTFORDSHIRE!D10</f>
        <v>101652</v>
      </c>
      <c r="C96" s="45"/>
      <c r="D96" s="46">
        <f t="shared" si="7"/>
        <v>1.3595474060105124</v>
      </c>
    </row>
    <row r="97" spans="1:4">
      <c r="A97" s="43" t="s">
        <v>6797</v>
      </c>
      <c r="B97" s="44">
        <f>HERTFORDSHIRE!D11</f>
        <v>59620</v>
      </c>
      <c r="C97" s="45"/>
      <c r="D97" s="46">
        <f t="shared" si="7"/>
        <v>0.79738929235378297</v>
      </c>
    </row>
    <row r="98" spans="1:4">
      <c r="A98" s="43" t="s">
        <v>6798</v>
      </c>
      <c r="B98" s="44">
        <f>HERTFORDSHIRE!D12</f>
        <v>66161</v>
      </c>
      <c r="C98" s="45"/>
      <c r="D98" s="46">
        <f t="shared" si="7"/>
        <v>0.88487207265043</v>
      </c>
    </row>
    <row r="99" spans="1:4">
      <c r="A99" s="43" t="s">
        <v>6799</v>
      </c>
      <c r="B99" s="44">
        <f>HERTFORDSHIRE!D13</f>
        <v>63484</v>
      </c>
      <c r="C99" s="45"/>
      <c r="D99" s="46">
        <f t="shared" si="7"/>
        <v>0.8490684642030788</v>
      </c>
    </row>
    <row r="100" spans="1:4">
      <c r="A100" s="43" t="s">
        <v>6800</v>
      </c>
      <c r="B100" s="44">
        <f>HERTFORDSHIRE!D14</f>
        <v>73296</v>
      </c>
      <c r="C100" s="45"/>
      <c r="D100" s="46">
        <f t="shared" si="7"/>
        <v>0.98029932191148739</v>
      </c>
    </row>
    <row r="101" spans="1:4">
      <c r="A101" s="43" t="s">
        <v>6801</v>
      </c>
      <c r="B101" s="44">
        <f>SUM(B91:B100)</f>
        <v>801230</v>
      </c>
      <c r="C101" s="45"/>
      <c r="D101" s="46">
        <f t="shared" si="7"/>
        <v>10.716072168947024</v>
      </c>
    </row>
    <row r="102" spans="1:4">
      <c r="A102" s="42"/>
      <c r="B102" s="42"/>
      <c r="C102" s="42"/>
      <c r="D102" s="46"/>
    </row>
    <row r="103" spans="1:4">
      <c r="A103" s="43" t="s">
        <v>6802</v>
      </c>
      <c r="B103" s="44">
        <f>NORFOLK!D5</f>
        <v>97669</v>
      </c>
      <c r="C103" s="45"/>
      <c r="D103" s="46">
        <f t="shared" ref="D103:D110" si="8">B103/$B$469</f>
        <v>1.3062766654629592</v>
      </c>
    </row>
    <row r="104" spans="1:4">
      <c r="A104" s="43" t="s">
        <v>6803</v>
      </c>
      <c r="B104" s="44">
        <f>NORFOLK!D6</f>
        <v>94862</v>
      </c>
      <c r="C104" s="45"/>
      <c r="D104" s="46">
        <f t="shared" si="8"/>
        <v>1.2687343685217136</v>
      </c>
    </row>
    <row r="105" spans="1:4">
      <c r="A105" s="43" t="s">
        <v>6804</v>
      </c>
      <c r="B105" s="44">
        <f>NORFOLK!D7</f>
        <v>69691</v>
      </c>
      <c r="C105" s="45"/>
      <c r="D105" s="46">
        <f t="shared" si="8"/>
        <v>0.9320841525231045</v>
      </c>
    </row>
    <row r="106" spans="1:4">
      <c r="A106" s="43" t="s">
        <v>6805</v>
      </c>
      <c r="B106" s="44">
        <f>NORFOLK!D8</f>
        <v>110945</v>
      </c>
      <c r="C106" s="45"/>
      <c r="D106" s="46">
        <f t="shared" si="8"/>
        <v>1.483836884270219</v>
      </c>
    </row>
    <row r="107" spans="1:4">
      <c r="A107" s="43" t="s">
        <v>6806</v>
      </c>
      <c r="B107" s="44">
        <f>NORFOLK!D9</f>
        <v>80922</v>
      </c>
      <c r="C107" s="45"/>
      <c r="D107" s="46">
        <f t="shared" si="8"/>
        <v>1.0822934638687156</v>
      </c>
    </row>
    <row r="108" spans="1:4">
      <c r="A108" s="43" t="s">
        <v>6807</v>
      </c>
      <c r="B108" s="44">
        <f>NORFOLK!D10</f>
        <v>93077</v>
      </c>
      <c r="C108" s="45"/>
      <c r="D108" s="46">
        <f t="shared" si="8"/>
        <v>1.2448608380478541</v>
      </c>
    </row>
    <row r="109" spans="1:4">
      <c r="A109" s="43" t="s">
        <v>6808</v>
      </c>
      <c r="B109" s="44">
        <f>NORFOLK!D11</f>
        <v>98595</v>
      </c>
      <c r="C109" s="45"/>
      <c r="D109" s="46">
        <f t="shared" si="8"/>
        <v>1.3186614773502388</v>
      </c>
    </row>
    <row r="110" spans="1:4">
      <c r="A110" s="43" t="s">
        <v>6809</v>
      </c>
      <c r="B110" s="44">
        <f>SUM(B103:B109)</f>
        <v>645761</v>
      </c>
      <c r="C110" s="45"/>
      <c r="D110" s="46">
        <f t="shared" si="8"/>
        <v>8.6367478500448041</v>
      </c>
    </row>
    <row r="111" spans="1:4">
      <c r="A111" s="42"/>
      <c r="B111" s="42"/>
      <c r="C111" s="42"/>
      <c r="D111" s="46"/>
    </row>
    <row r="112" spans="1:4">
      <c r="A112" s="43" t="s">
        <v>6810</v>
      </c>
      <c r="B112" s="44">
        <f>SUFFOLK!D5</f>
        <v>68206</v>
      </c>
      <c r="C112" s="45"/>
      <c r="D112" s="46">
        <f t="shared" ref="D112:D119" si="9">B112/$B$469</f>
        <v>0.91222298011207859</v>
      </c>
    </row>
    <row r="113" spans="1:4">
      <c r="A113" s="43" t="s">
        <v>6811</v>
      </c>
      <c r="B113" s="44">
        <f>SUFFOLK!D6</f>
        <v>36057</v>
      </c>
      <c r="C113" s="45"/>
      <c r="D113" s="46">
        <f t="shared" si="9"/>
        <v>0.48224531557196165</v>
      </c>
    </row>
    <row r="114" spans="1:4">
      <c r="A114" s="43" t="s">
        <v>6812</v>
      </c>
      <c r="B114" s="44">
        <f>SUFFOLK!D7</f>
        <v>87527</v>
      </c>
      <c r="C114" s="45"/>
      <c r="D114" s="46">
        <f t="shared" si="9"/>
        <v>1.1706322138854337</v>
      </c>
    </row>
    <row r="115" spans="1:4">
      <c r="A115" s="43" t="s">
        <v>6813</v>
      </c>
      <c r="B115" s="44">
        <f>SUFFOLK!D8</f>
        <v>76018</v>
      </c>
      <c r="C115" s="45"/>
      <c r="D115" s="46">
        <f t="shared" si="9"/>
        <v>1.0167047840682635</v>
      </c>
    </row>
    <row r="116" spans="1:4">
      <c r="A116" s="43" t="s">
        <v>6814</v>
      </c>
      <c r="B116" s="44">
        <f>SUFFOLK!D9</f>
        <v>76662</v>
      </c>
      <c r="C116" s="45"/>
      <c r="D116" s="46">
        <f t="shared" si="9"/>
        <v>1.0253179793764795</v>
      </c>
    </row>
    <row r="117" spans="1:4">
      <c r="A117" s="43" t="s">
        <v>6815</v>
      </c>
      <c r="B117" s="44">
        <f>SUFFOLK!D10</f>
        <v>93970</v>
      </c>
      <c r="C117" s="45"/>
      <c r="D117" s="46">
        <f t="shared" si="9"/>
        <v>1.256804290548222</v>
      </c>
    </row>
    <row r="118" spans="1:4">
      <c r="A118" s="43" t="s">
        <v>6816</v>
      </c>
      <c r="B118" s="44">
        <f>SUFFOLK!D11</f>
        <v>87777</v>
      </c>
      <c r="C118" s="45"/>
      <c r="D118" s="46">
        <f t="shared" si="9"/>
        <v>1.1739758456044618</v>
      </c>
    </row>
    <row r="119" spans="1:4">
      <c r="A119" s="43" t="s">
        <v>6817</v>
      </c>
      <c r="B119" s="44">
        <f>SUM(B112:B118)</f>
        <v>526217</v>
      </c>
      <c r="C119" s="45"/>
      <c r="D119" s="46">
        <f t="shared" si="9"/>
        <v>7.0379034091669004</v>
      </c>
    </row>
    <row r="120" spans="1:4">
      <c r="A120" s="43"/>
      <c r="B120" s="44"/>
      <c r="C120" s="45"/>
      <c r="D120" s="46"/>
    </row>
    <row r="121" spans="1:4">
      <c r="A121" s="50" t="s">
        <v>6818</v>
      </c>
      <c r="B121" s="212">
        <f>B63+B72+B89+B101+B110+B119</f>
        <v>4242266</v>
      </c>
      <c r="C121" s="50"/>
      <c r="D121" s="51">
        <f>B121/$B$469</f>
        <v>56.738300632615122</v>
      </c>
    </row>
    <row r="122" spans="1:4">
      <c r="A122" s="42"/>
      <c r="B122" s="42"/>
      <c r="C122" s="42"/>
    </row>
    <row r="123" spans="1:4">
      <c r="A123" s="43" t="s">
        <v>619</v>
      </c>
      <c r="B123" s="44"/>
      <c r="C123" s="45"/>
    </row>
    <row r="124" spans="1:4">
      <c r="A124" s="52"/>
      <c r="B124" s="134"/>
      <c r="C124" s="134"/>
      <c r="D124" s="134"/>
    </row>
    <row r="125" spans="1:4">
      <c r="A125" s="43" t="s">
        <v>9143</v>
      </c>
      <c r="B125" s="44">
        <f>BARKING!D3</f>
        <v>111486</v>
      </c>
      <c r="C125" s="45"/>
      <c r="D125" s="46">
        <f t="shared" ref="D125:D157" si="10">B125/$B$469</f>
        <v>1.4910725033101955</v>
      </c>
    </row>
    <row r="126" spans="1:4">
      <c r="A126" s="43" t="s">
        <v>9144</v>
      </c>
      <c r="B126" s="44">
        <f>BARNET!D3</f>
        <v>208613</v>
      </c>
      <c r="C126" s="45"/>
      <c r="D126" s="46">
        <f t="shared" si="10"/>
        <v>2.7901001752063022</v>
      </c>
    </row>
    <row r="127" spans="1:4">
      <c r="A127" s="43" t="s">
        <v>9145</v>
      </c>
      <c r="B127" s="44">
        <f>BEXLEY!D3</f>
        <v>165238</v>
      </c>
      <c r="C127" s="45"/>
      <c r="D127" s="46">
        <f t="shared" si="10"/>
        <v>2.2099800719549547</v>
      </c>
    </row>
    <row r="128" spans="1:4">
      <c r="A128" s="43" t="s">
        <v>9146</v>
      </c>
      <c r="B128" s="44">
        <f>BRENT!D3</f>
        <v>182183</v>
      </c>
      <c r="C128" s="45"/>
      <c r="D128" s="46">
        <f t="shared" si="10"/>
        <v>2.4366114298706685</v>
      </c>
    </row>
    <row r="129" spans="1:4">
      <c r="A129" s="43" t="s">
        <v>9147</v>
      </c>
      <c r="B129" s="44">
        <f>BROMLEY!D3</f>
        <v>226093</v>
      </c>
      <c r="C129" s="45"/>
      <c r="D129" s="46">
        <f t="shared" si="10"/>
        <v>3.0238869050007358</v>
      </c>
    </row>
    <row r="130" spans="1:4">
      <c r="A130" s="43" t="s">
        <v>9148</v>
      </c>
      <c r="B130" s="44">
        <f>CAMDEN!D3</f>
        <v>129978</v>
      </c>
      <c r="C130" s="45"/>
      <c r="D130" s="46">
        <f t="shared" si="10"/>
        <v>1.738394254303254</v>
      </c>
    </row>
    <row r="131" spans="1:4">
      <c r="A131" s="43" t="s">
        <v>9149</v>
      </c>
      <c r="B131" s="44">
        <f>CROYDON!D3</f>
        <v>234188</v>
      </c>
      <c r="C131" s="45"/>
      <c r="D131" s="46">
        <f t="shared" si="10"/>
        <v>3.1321537000628603</v>
      </c>
    </row>
    <row r="132" spans="1:4">
      <c r="A132" s="43" t="s">
        <v>9150</v>
      </c>
      <c r="B132" s="44">
        <f>EALING!D3</f>
        <v>208976</v>
      </c>
      <c r="C132" s="45"/>
      <c r="D132" s="46">
        <f t="shared" si="10"/>
        <v>2.7949551284623309</v>
      </c>
    </row>
    <row r="133" spans="1:4">
      <c r="A133" s="43" t="s">
        <v>9151</v>
      </c>
      <c r="B133" s="44">
        <f>ENFIELD!D3</f>
        <v>192256</v>
      </c>
      <c r="C133" s="45"/>
      <c r="D133" s="46">
        <f t="shared" si="10"/>
        <v>2.5713330390937421</v>
      </c>
    </row>
    <row r="134" spans="1:4">
      <c r="A134" s="43" t="s">
        <v>9152</v>
      </c>
      <c r="B134" s="44">
        <f>GREENWICH!D3</f>
        <v>160503</v>
      </c>
      <c r="C134" s="45"/>
      <c r="D134" s="46">
        <f t="shared" si="10"/>
        <v>2.1466516871965653</v>
      </c>
    </row>
    <row r="135" spans="1:4">
      <c r="A135" s="43" t="s">
        <v>9153</v>
      </c>
      <c r="B135" s="44">
        <f>HACKNEY!D3</f>
        <v>148344</v>
      </c>
      <c r="C135" s="45"/>
      <c r="D135" s="46">
        <f t="shared" si="10"/>
        <v>1.9840308149099226</v>
      </c>
    </row>
    <row r="136" spans="1:4">
      <c r="A136" s="43" t="s">
        <v>9154</v>
      </c>
      <c r="B136" s="44">
        <f>HAMMERSMITH!D3</f>
        <v>105431</v>
      </c>
      <c r="C136" s="45"/>
      <c r="D136" s="46">
        <f t="shared" si="10"/>
        <v>1.4100897430753387</v>
      </c>
    </row>
    <row r="137" spans="1:4">
      <c r="A137" s="43" t="s">
        <v>9155</v>
      </c>
      <c r="B137" s="44">
        <f>HARINGEY!D3</f>
        <v>141270</v>
      </c>
      <c r="C137" s="45"/>
      <c r="D137" s="46">
        <f t="shared" si="10"/>
        <v>1.8894194117883081</v>
      </c>
    </row>
    <row r="138" spans="1:4">
      <c r="A138" s="43" t="s">
        <v>9156</v>
      </c>
      <c r="B138" s="44">
        <f>HARROW!D3</f>
        <v>161123</v>
      </c>
      <c r="C138" s="45"/>
      <c r="D138" s="46">
        <f t="shared" si="10"/>
        <v>2.1549438938597545</v>
      </c>
    </row>
    <row r="139" spans="1:4">
      <c r="A139" s="43" t="s">
        <v>9157</v>
      </c>
      <c r="B139" s="44">
        <f>HAVERING!D3</f>
        <v>177400</v>
      </c>
      <c r="C139" s="45"/>
      <c r="D139" s="46">
        <f t="shared" si="10"/>
        <v>2.3726410678222258</v>
      </c>
    </row>
    <row r="140" spans="1:4">
      <c r="A140" s="43" t="s">
        <v>9158</v>
      </c>
      <c r="B140" s="44">
        <f>HILLINGDON!D3</f>
        <v>183803</v>
      </c>
      <c r="C140" s="45"/>
      <c r="D140" s="46">
        <f t="shared" si="10"/>
        <v>2.4582781634099695</v>
      </c>
    </row>
    <row r="141" spans="1:4">
      <c r="A141" s="43" t="s">
        <v>9159</v>
      </c>
      <c r="B141" s="44">
        <f>HOUNSLOW!D3</f>
        <v>159510</v>
      </c>
      <c r="C141" s="45"/>
      <c r="D141" s="46">
        <f t="shared" si="10"/>
        <v>2.1333707820085865</v>
      </c>
    </row>
    <row r="142" spans="1:4">
      <c r="A142" s="43" t="s">
        <v>9160</v>
      </c>
      <c r="B142" s="44">
        <f>ISLINGTON!D3</f>
        <v>134137</v>
      </c>
      <c r="C142" s="45"/>
      <c r="D142" s="46">
        <f t="shared" si="10"/>
        <v>1.7940189115810028</v>
      </c>
    </row>
    <row r="143" spans="1:4">
      <c r="A143" s="43" t="s">
        <v>9161</v>
      </c>
      <c r="B143" s="44">
        <f>KENSINGTON!D3</f>
        <v>76454</v>
      </c>
      <c r="C143" s="45"/>
      <c r="D143" s="46">
        <f t="shared" si="10"/>
        <v>1.0225360777862482</v>
      </c>
    </row>
    <row r="144" spans="1:4">
      <c r="A144" s="43" t="s">
        <v>9162</v>
      </c>
      <c r="B144" s="44">
        <f>KINGSTON!D3</f>
        <v>104458</v>
      </c>
      <c r="C144" s="45"/>
      <c r="D144" s="46">
        <f t="shared" si="10"/>
        <v>1.3970763284248819</v>
      </c>
    </row>
    <row r="145" spans="1:4">
      <c r="A145" s="43" t="s">
        <v>9163</v>
      </c>
      <c r="B145" s="44">
        <f>LAMBETH!D3</f>
        <v>188189</v>
      </c>
      <c r="C145" s="45"/>
      <c r="D145" s="46">
        <f t="shared" si="10"/>
        <v>2.5169388382885955</v>
      </c>
    </row>
    <row r="146" spans="1:4">
      <c r="A146" s="43" t="s">
        <v>9164</v>
      </c>
      <c r="B146" s="44">
        <f>LEWISHAM!D3</f>
        <v>167222</v>
      </c>
      <c r="C146" s="45"/>
      <c r="D146" s="46">
        <f t="shared" si="10"/>
        <v>2.2365151332771602</v>
      </c>
    </row>
    <row r="147" spans="1:4">
      <c r="A147" s="43" t="s">
        <v>9165</v>
      </c>
      <c r="B147" s="44">
        <f>MERTON!D3</f>
        <v>129825</v>
      </c>
      <c r="C147" s="45"/>
      <c r="D147" s="46">
        <f t="shared" si="10"/>
        <v>1.7363479516912088</v>
      </c>
    </row>
    <row r="148" spans="1:4">
      <c r="A148" s="43" t="s">
        <v>9166</v>
      </c>
      <c r="B148" s="44">
        <f>NEWHAM!D3</f>
        <v>169712</v>
      </c>
      <c r="C148" s="45"/>
      <c r="D148" s="46">
        <f t="shared" si="10"/>
        <v>2.2698177051986788</v>
      </c>
    </row>
    <row r="149" spans="1:4">
      <c r="A149" s="43" t="s">
        <v>9167</v>
      </c>
      <c r="B149" s="44">
        <f>REDBRIDGE!D3</f>
        <v>178020</v>
      </c>
      <c r="C149" s="45"/>
      <c r="D149" s="46">
        <f t="shared" si="10"/>
        <v>2.380933274485415</v>
      </c>
    </row>
    <row r="150" spans="1:4">
      <c r="A150" s="43" t="s">
        <v>9168</v>
      </c>
      <c r="B150" s="44">
        <f>RICHMOND!D3</f>
        <v>126524</v>
      </c>
      <c r="C150" s="45"/>
      <c r="D150" s="46">
        <f t="shared" si="10"/>
        <v>1.692198638473164</v>
      </c>
    </row>
    <row r="151" spans="1:4">
      <c r="A151" s="43" t="s">
        <v>9169</v>
      </c>
      <c r="B151" s="44">
        <f>SOUTHWARK!D3</f>
        <v>186580</v>
      </c>
      <c r="C151" s="45"/>
      <c r="D151" s="46">
        <f t="shared" si="10"/>
        <v>2.4954192245449316</v>
      </c>
    </row>
    <row r="152" spans="1:4">
      <c r="A152" s="43" t="s">
        <v>4475</v>
      </c>
      <c r="B152" s="44">
        <f>SUTTON!D3</f>
        <v>136004</v>
      </c>
      <c r="C152" s="45"/>
      <c r="D152" s="46">
        <f t="shared" si="10"/>
        <v>1.8189891532587035</v>
      </c>
    </row>
    <row r="153" spans="1:4">
      <c r="A153" s="43" t="s">
        <v>9170</v>
      </c>
      <c r="B153" s="44">
        <f>'TOWER HAMLETS'!D3</f>
        <v>151151</v>
      </c>
      <c r="C153" s="45"/>
      <c r="D153" s="46">
        <f t="shared" si="10"/>
        <v>2.0215731118511684</v>
      </c>
    </row>
    <row r="154" spans="1:4">
      <c r="A154" s="43" t="s">
        <v>9171</v>
      </c>
      <c r="B154" s="44">
        <f>'WALTHAM FOREST'!D3</f>
        <v>155532</v>
      </c>
      <c r="C154" s="45"/>
      <c r="D154" s="46">
        <f t="shared" si="10"/>
        <v>2.0801669140954138</v>
      </c>
    </row>
    <row r="155" spans="1:4">
      <c r="A155" s="43" t="s">
        <v>9172</v>
      </c>
      <c r="B155" s="44">
        <f>WANDSWORTH!D3</f>
        <v>201174</v>
      </c>
      <c r="C155" s="45"/>
      <c r="D155" s="46">
        <f t="shared" si="10"/>
        <v>2.6906070697749067</v>
      </c>
    </row>
    <row r="156" spans="1:4">
      <c r="A156" s="43" t="s">
        <v>9173</v>
      </c>
      <c r="B156" s="44">
        <f>WESTMINSTER!D3</f>
        <v>111349</v>
      </c>
      <c r="C156" s="45"/>
      <c r="D156" s="46">
        <f t="shared" si="10"/>
        <v>1.489240193128168</v>
      </c>
    </row>
    <row r="157" spans="1:4">
      <c r="A157" s="43" t="s">
        <v>9174</v>
      </c>
      <c r="B157" s="44">
        <f>'CITY OF LONDON'!D3</f>
        <v>6158</v>
      </c>
      <c r="C157" s="45"/>
      <c r="D157" s="46">
        <f t="shared" si="10"/>
        <v>8.236033650309621E-2</v>
      </c>
    </row>
    <row r="158" spans="1:4">
      <c r="A158" s="42"/>
      <c r="B158" s="47"/>
      <c r="C158" s="42"/>
      <c r="D158" s="46"/>
    </row>
    <row r="159" spans="1:4">
      <c r="A159" s="52" t="s">
        <v>9175</v>
      </c>
      <c r="B159" s="53">
        <f>SUM(B125:B157)</f>
        <v>5118884</v>
      </c>
      <c r="C159" s="399"/>
      <c r="D159" s="46">
        <f>B159/$B$469</f>
        <v>68.462651633698457</v>
      </c>
    </row>
    <row r="160" spans="1:4">
      <c r="A160" s="52"/>
      <c r="B160" s="134"/>
      <c r="C160" s="134"/>
      <c r="D160" s="134"/>
    </row>
    <row r="161" spans="1:4">
      <c r="A161" s="43" t="s">
        <v>6003</v>
      </c>
      <c r="B161" s="44">
        <f>DURHAM!D3</f>
        <v>74929</v>
      </c>
      <c r="C161" s="45"/>
      <c r="D161" s="46">
        <f>B161/$B$469</f>
        <v>1.0021399243001778</v>
      </c>
    </row>
    <row r="162" spans="1:4">
      <c r="A162" s="43" t="s">
        <v>6004</v>
      </c>
      <c r="B162" s="47">
        <f>DURHAM!D4</f>
        <v>377715</v>
      </c>
      <c r="C162" s="42"/>
      <c r="D162" s="46">
        <f>B162/$B$469</f>
        <v>5.0517594190105521</v>
      </c>
    </row>
    <row r="163" spans="1:4">
      <c r="A163" s="48" t="s">
        <v>6005</v>
      </c>
      <c r="B163" s="44">
        <f>B161+B162</f>
        <v>452644</v>
      </c>
      <c r="C163" s="45"/>
      <c r="D163" s="46">
        <f>B163/$B$469</f>
        <v>6.0538993433107304</v>
      </c>
    </row>
    <row r="164" spans="1:4">
      <c r="D164" s="46"/>
    </row>
    <row r="165" spans="1:4">
      <c r="A165" s="43" t="s">
        <v>6006</v>
      </c>
      <c r="B165" s="44">
        <f>'"CLEVELAND"'!D3</f>
        <v>68201</v>
      </c>
      <c r="C165" s="45"/>
      <c r="D165" s="46">
        <f>B165/$B$469</f>
        <v>0.91215610747769793</v>
      </c>
    </row>
    <row r="166" spans="1:4">
      <c r="A166" s="43" t="s">
        <v>6007</v>
      </c>
      <c r="B166" s="44">
        <f>'"CLEVELAND"'!D4</f>
        <v>90162</v>
      </c>
      <c r="C166" s="45"/>
      <c r="D166" s="46">
        <f>B166/$B$469</f>
        <v>1.2058740922039883</v>
      </c>
    </row>
    <row r="167" spans="1:4">
      <c r="A167" s="43" t="s">
        <v>6008</v>
      </c>
      <c r="B167" s="44">
        <f>'"CLEVELAND"'!D5</f>
        <v>100365</v>
      </c>
      <c r="C167" s="45"/>
      <c r="D167" s="46">
        <f>B167/$B$469</f>
        <v>1.3423343899209565</v>
      </c>
    </row>
    <row r="168" spans="1:4">
      <c r="A168" s="43" t="s">
        <v>6009</v>
      </c>
      <c r="B168" s="3">
        <f>'"CLEVELAND"'!D6</f>
        <v>137838</v>
      </c>
      <c r="C168" s="45"/>
      <c r="D168" s="46">
        <f>B168/$B$469</f>
        <v>1.8435180355494925</v>
      </c>
    </row>
    <row r="169" spans="1:4">
      <c r="A169" s="48" t="s">
        <v>6010</v>
      </c>
      <c r="B169" s="44">
        <f>SUM(B165:B168)</f>
        <v>396566</v>
      </c>
      <c r="C169" s="45"/>
      <c r="D169" s="46">
        <f>B169/$B$469</f>
        <v>5.3038826251521352</v>
      </c>
    </row>
    <row r="170" spans="1:4">
      <c r="A170" s="42"/>
      <c r="B170" s="42"/>
      <c r="C170" s="42"/>
      <c r="D170" s="46"/>
    </row>
    <row r="171" spans="1:4">
      <c r="A171" s="43" t="s">
        <v>6011</v>
      </c>
      <c r="B171" s="44">
        <f>NORTHUMBERLAND!D3</f>
        <v>232448</v>
      </c>
      <c r="C171" s="45"/>
      <c r="D171" s="46">
        <f>B171/$B$469</f>
        <v>3.1088820232984258</v>
      </c>
    </row>
    <row r="172" spans="1:4">
      <c r="A172" s="42"/>
      <c r="B172" s="42"/>
      <c r="C172" s="42"/>
      <c r="D172" s="46"/>
    </row>
    <row r="173" spans="1:4">
      <c r="A173" s="43" t="s">
        <v>6012</v>
      </c>
      <c r="B173" s="3">
        <f>'TYNE &amp; WEAR'!D5</f>
        <v>140942</v>
      </c>
      <c r="C173" s="45"/>
      <c r="D173" s="46">
        <f t="shared" ref="D173:D178" si="11">B173/$B$469</f>
        <v>1.8850325669729433</v>
      </c>
    </row>
    <row r="174" spans="1:4">
      <c r="A174" s="43" t="s">
        <v>6013</v>
      </c>
      <c r="B174" s="3">
        <f>'TYNE &amp; WEAR'!D6</f>
        <v>180183</v>
      </c>
      <c r="C174" s="45"/>
      <c r="D174" s="46">
        <f t="shared" si="11"/>
        <v>2.4098623761184448</v>
      </c>
    </row>
    <row r="175" spans="1:4">
      <c r="A175" s="43" t="s">
        <v>6014</v>
      </c>
      <c r="B175" s="3">
        <f>'TYNE &amp; WEAR'!D7</f>
        <v>151045</v>
      </c>
      <c r="C175" s="45"/>
      <c r="D175" s="46">
        <f t="shared" si="11"/>
        <v>2.0201554120023002</v>
      </c>
    </row>
    <row r="176" spans="1:4">
      <c r="A176" s="43" t="s">
        <v>6015</v>
      </c>
      <c r="B176" s="3">
        <f>'TYNE &amp; WEAR'!D8</f>
        <v>115022</v>
      </c>
      <c r="C176" s="45"/>
      <c r="D176" s="46">
        <f t="shared" si="11"/>
        <v>1.5383648303441266</v>
      </c>
    </row>
    <row r="177" spans="1:4">
      <c r="A177" s="43" t="s">
        <v>6016</v>
      </c>
      <c r="B177" s="3">
        <f>'TYNE &amp; WEAR'!D9</f>
        <v>205546</v>
      </c>
      <c r="C177" s="45"/>
      <c r="D177" s="46">
        <f t="shared" si="11"/>
        <v>2.7490805012772674</v>
      </c>
    </row>
    <row r="178" spans="1:4">
      <c r="A178" s="43" t="s">
        <v>6017</v>
      </c>
      <c r="B178" s="44">
        <f>SUM(B173:B177)</f>
        <v>792738</v>
      </c>
      <c r="C178" s="45"/>
      <c r="D178" s="46">
        <f t="shared" si="11"/>
        <v>10.602495686715082</v>
      </c>
    </row>
    <row r="179" spans="1:4">
      <c r="A179" s="42"/>
      <c r="B179" s="42"/>
      <c r="C179" s="42"/>
      <c r="D179" s="46"/>
    </row>
    <row r="180" spans="1:4">
      <c r="A180" s="50" t="s">
        <v>6018</v>
      </c>
      <c r="B180" s="212">
        <f>B163+B169+B171+B178</f>
        <v>1874396</v>
      </c>
      <c r="C180" s="50"/>
      <c r="D180" s="51">
        <f>B180/$B$469</f>
        <v>25.069159678476375</v>
      </c>
    </row>
    <row r="181" spans="1:4">
      <c r="A181" s="42"/>
      <c r="B181" s="47"/>
      <c r="C181" s="42"/>
      <c r="D181" s="46"/>
    </row>
    <row r="182" spans="1:4">
      <c r="A182" s="43" t="s">
        <v>619</v>
      </c>
      <c r="B182" s="44" t="s">
        <v>620</v>
      </c>
      <c r="C182" s="45"/>
    </row>
    <row r="184" spans="1:4">
      <c r="A184" s="43" t="s">
        <v>11651</v>
      </c>
      <c r="B184" s="44">
        <f>CHESHIRE!D3</f>
        <v>270905</v>
      </c>
      <c r="C184" s="45"/>
      <c r="D184" s="46">
        <f>B184/$B$469</f>
        <v>3.6232262033730556</v>
      </c>
    </row>
    <row r="185" spans="1:4">
      <c r="A185" s="43" t="s">
        <v>11652</v>
      </c>
      <c r="B185" s="44">
        <f>CHESHIRE!D4</f>
        <v>256498</v>
      </c>
      <c r="C185" s="45"/>
      <c r="D185" s="46">
        <f>B185/$B$469</f>
        <v>3.4305393946689136</v>
      </c>
    </row>
    <row r="186" spans="1:4">
      <c r="A186" s="43" t="s">
        <v>11653</v>
      </c>
      <c r="B186" s="44">
        <f>CHESHIRE!D5</f>
        <v>92958</v>
      </c>
      <c r="C186" s="45"/>
      <c r="D186" s="46">
        <f>B186/$B$469</f>
        <v>1.2432692693495968</v>
      </c>
    </row>
    <row r="187" spans="1:4">
      <c r="A187" s="43" t="s">
        <v>11654</v>
      </c>
      <c r="B187" s="44">
        <f>CHESHIRE!D6</f>
        <v>152989</v>
      </c>
      <c r="C187" s="45"/>
      <c r="D187" s="46">
        <f>B187/$B$469</f>
        <v>2.0461554922494618</v>
      </c>
    </row>
    <row r="188" spans="1:4">
      <c r="A188" s="48" t="s">
        <v>11655</v>
      </c>
      <c r="B188" s="44">
        <f>SUM(B184:B187)</f>
        <v>773350</v>
      </c>
      <c r="C188" s="45"/>
      <c r="D188" s="46">
        <f>B188/$B$469</f>
        <v>10.343190359641028</v>
      </c>
    </row>
    <row r="189" spans="1:4">
      <c r="A189" s="42"/>
      <c r="B189" s="42"/>
      <c r="C189" s="42"/>
      <c r="D189" s="46"/>
    </row>
    <row r="190" spans="1:4">
      <c r="A190" s="43" t="s">
        <v>11656</v>
      </c>
      <c r="B190" s="44">
        <f>CUMBRIA!D5</f>
        <v>72052</v>
      </c>
      <c r="C190" s="45"/>
      <c r="D190" s="46">
        <f t="shared" ref="D190:D196" si="12">B190/$B$469</f>
        <v>0.96366141047760434</v>
      </c>
    </row>
    <row r="191" spans="1:4">
      <c r="A191" s="43" t="s">
        <v>11657</v>
      </c>
      <c r="B191" s="44">
        <f>CUMBRIA!D6</f>
        <v>52499</v>
      </c>
      <c r="C191" s="45"/>
      <c r="D191" s="46">
        <f t="shared" si="12"/>
        <v>0.70214928646899111</v>
      </c>
    </row>
    <row r="192" spans="1:4">
      <c r="A192" s="43" t="s">
        <v>11658</v>
      </c>
      <c r="B192" s="44">
        <f>CUMBRIA!D7</f>
        <v>76825</v>
      </c>
      <c r="C192" s="45"/>
      <c r="D192" s="46">
        <f t="shared" si="12"/>
        <v>1.0274980272572858</v>
      </c>
    </row>
    <row r="193" spans="1:4">
      <c r="A193" s="43" t="s">
        <v>11659</v>
      </c>
      <c r="B193" s="44">
        <f>CUMBRIA!D8</f>
        <v>53024</v>
      </c>
      <c r="C193" s="45"/>
      <c r="D193" s="46">
        <f t="shared" si="12"/>
        <v>0.70917091307894986</v>
      </c>
    </row>
    <row r="194" spans="1:4">
      <c r="A194" s="43" t="s">
        <v>11660</v>
      </c>
      <c r="B194" s="44">
        <f>CUMBRIA!D9</f>
        <v>40434</v>
      </c>
      <c r="C194" s="45"/>
      <c r="D194" s="46">
        <f t="shared" si="12"/>
        <v>0.54078561970870276</v>
      </c>
    </row>
    <row r="195" spans="1:4">
      <c r="A195" s="43" t="s">
        <v>11661</v>
      </c>
      <c r="B195" s="44">
        <f>CUMBRIA!D10</f>
        <v>79163</v>
      </c>
      <c r="C195" s="45"/>
      <c r="D195" s="46">
        <f t="shared" si="12"/>
        <v>1.0587676710936351</v>
      </c>
    </row>
    <row r="196" spans="1:4">
      <c r="A196" s="43" t="s">
        <v>11662</v>
      </c>
      <c r="B196" s="44">
        <f>SUM(B190:B195)</f>
        <v>373997</v>
      </c>
      <c r="C196" s="45"/>
      <c r="D196" s="46">
        <f t="shared" si="12"/>
        <v>5.0020329280851694</v>
      </c>
    </row>
    <row r="197" spans="1:4">
      <c r="A197" s="42"/>
      <c r="B197" s="42"/>
      <c r="C197" s="42"/>
      <c r="D197" s="46"/>
    </row>
    <row r="198" spans="1:4">
      <c r="A198" s="43" t="s">
        <v>11663</v>
      </c>
      <c r="B198" s="44">
        <f>'GREATER MANCHESTER'!D5</f>
        <v>188874</v>
      </c>
      <c r="C198" s="45"/>
      <c r="D198" s="46">
        <f t="shared" ref="D198:D208" si="13">B198/$B$469</f>
        <v>2.5261003891987319</v>
      </c>
    </row>
    <row r="199" spans="1:4">
      <c r="A199" s="43" t="s">
        <v>11664</v>
      </c>
      <c r="B199" s="44">
        <f>'GREATER MANCHESTER'!D6</f>
        <v>134649</v>
      </c>
      <c r="C199" s="45"/>
      <c r="D199" s="46">
        <f t="shared" si="13"/>
        <v>1.800866669341572</v>
      </c>
    </row>
    <row r="200" spans="1:4">
      <c r="A200" s="43" t="s">
        <v>11665</v>
      </c>
      <c r="B200" s="44">
        <f>'GREATER MANCHESTER'!D7</f>
        <v>345660</v>
      </c>
      <c r="C200" s="45"/>
      <c r="D200" s="46">
        <f t="shared" si="13"/>
        <v>4.6230389599967898</v>
      </c>
    </row>
    <row r="201" spans="1:4">
      <c r="A201" s="43" t="s">
        <v>11666</v>
      </c>
      <c r="B201" s="44">
        <f>'GREATER MANCHESTER'!D8</f>
        <v>153751</v>
      </c>
      <c r="C201" s="45"/>
      <c r="D201" s="46">
        <f t="shared" si="13"/>
        <v>2.0563468817290587</v>
      </c>
    </row>
    <row r="202" spans="1:4">
      <c r="A202" s="43" t="s">
        <v>11667</v>
      </c>
      <c r="B202" s="44">
        <f>'GREATER MANCHESTER'!D9</f>
        <v>148410</v>
      </c>
      <c r="C202" s="45"/>
      <c r="D202" s="46">
        <f t="shared" si="13"/>
        <v>1.984913533683746</v>
      </c>
    </row>
    <row r="203" spans="1:4">
      <c r="A203" s="43" t="s">
        <v>11668</v>
      </c>
      <c r="B203" s="44">
        <f>'GREATER MANCHESTER'!D10</f>
        <v>162645</v>
      </c>
      <c r="C203" s="45"/>
      <c r="D203" s="46">
        <f t="shared" si="13"/>
        <v>2.1752999237651967</v>
      </c>
    </row>
    <row r="204" spans="1:4">
      <c r="A204" s="43" t="s">
        <v>11669</v>
      </c>
      <c r="B204" s="44">
        <f>'GREATER MANCHESTER'!D11</f>
        <v>211848</v>
      </c>
      <c r="C204" s="45"/>
      <c r="D204" s="46">
        <f t="shared" si="13"/>
        <v>2.8333667696505236</v>
      </c>
    </row>
    <row r="205" spans="1:4">
      <c r="A205" s="43" t="s">
        <v>11670</v>
      </c>
      <c r="B205" s="44">
        <f>'GREATER MANCHESTER'!D12</f>
        <v>163976</v>
      </c>
      <c r="C205" s="45"/>
      <c r="D205" s="46">
        <f t="shared" si="13"/>
        <v>2.1931014190373017</v>
      </c>
    </row>
    <row r="206" spans="1:4">
      <c r="A206" s="43" t="s">
        <v>11671</v>
      </c>
      <c r="B206" s="44">
        <f>'GREATER MANCHESTER'!D13</f>
        <v>159419</v>
      </c>
      <c r="C206" s="45"/>
      <c r="D206" s="46">
        <f t="shared" si="13"/>
        <v>2.1321537000628603</v>
      </c>
    </row>
    <row r="207" spans="1:4">
      <c r="A207" s="43" t="s">
        <v>11672</v>
      </c>
      <c r="B207" s="44">
        <f>'GREATER MANCHESTER'!D14</f>
        <v>227997</v>
      </c>
      <c r="C207" s="45"/>
      <c r="D207" s="46">
        <f t="shared" si="13"/>
        <v>3.0493520041728526</v>
      </c>
    </row>
    <row r="208" spans="1:4">
      <c r="A208" s="43" t="s">
        <v>11673</v>
      </c>
      <c r="B208" s="44">
        <f>SUM(B198:B207)</f>
        <v>1897229</v>
      </c>
      <c r="C208" s="45"/>
      <c r="D208" s="46">
        <f t="shared" si="13"/>
        <v>25.374540250638635</v>
      </c>
    </row>
    <row r="209" spans="1:4">
      <c r="A209" s="42"/>
      <c r="C209" s="42"/>
      <c r="D209" s="46"/>
    </row>
    <row r="210" spans="1:4">
      <c r="A210" s="43" t="s">
        <v>11674</v>
      </c>
      <c r="B210" s="44">
        <f>LANCASHIRE!D8</f>
        <v>63228</v>
      </c>
      <c r="C210" s="45"/>
      <c r="D210" s="46">
        <f t="shared" ref="D210:D225" si="14">B210/$B$469</f>
        <v>0.84564458532279418</v>
      </c>
    </row>
    <row r="211" spans="1:4">
      <c r="A211" s="43" t="s">
        <v>11675</v>
      </c>
      <c r="B211" s="44">
        <f>LANCASHIRE!D9</f>
        <v>81668</v>
      </c>
      <c r="C211" s="45"/>
      <c r="D211" s="46">
        <f t="shared" si="14"/>
        <v>1.092270860918295</v>
      </c>
    </row>
    <row r="212" spans="1:4">
      <c r="A212" s="43" t="s">
        <v>11676</v>
      </c>
      <c r="B212" s="44">
        <f>LANCASHIRE!D10</f>
        <v>59381</v>
      </c>
      <c r="C212" s="45"/>
      <c r="D212" s="46">
        <f t="shared" si="14"/>
        <v>0.79419278043039232</v>
      </c>
    </row>
    <row r="213" spans="1:4">
      <c r="A213" s="43" t="s">
        <v>11677</v>
      </c>
      <c r="B213" s="44">
        <f>LANCASHIRE!D11</f>
        <v>59715</v>
      </c>
      <c r="C213" s="45"/>
      <c r="D213" s="46">
        <f t="shared" si="14"/>
        <v>0.79865987240701364</v>
      </c>
    </row>
    <row r="214" spans="1:4">
      <c r="A214" s="43" t="s">
        <v>11678</v>
      </c>
      <c r="B214" s="44">
        <f>LANCASHIRE!D12</f>
        <v>96357</v>
      </c>
      <c r="C214" s="45"/>
      <c r="D214" s="46">
        <f t="shared" si="14"/>
        <v>1.2887292862015005</v>
      </c>
    </row>
    <row r="215" spans="1:4">
      <c r="A215" s="43" t="s">
        <v>11679</v>
      </c>
      <c r="B215" s="44">
        <f>LANCASHIRE!D13</f>
        <v>62891</v>
      </c>
      <c r="C215" s="45"/>
      <c r="D215" s="46">
        <f t="shared" si="14"/>
        <v>0.84113736976554454</v>
      </c>
    </row>
    <row r="216" spans="1:4">
      <c r="A216" s="43" t="s">
        <v>625</v>
      </c>
      <c r="B216" s="44">
        <f>LANCASHIRE!D14</f>
        <v>90766</v>
      </c>
      <c r="C216" s="45"/>
      <c r="D216" s="46">
        <f t="shared" si="14"/>
        <v>1.2139523064371598</v>
      </c>
    </row>
    <row r="217" spans="1:4">
      <c r="A217" s="43" t="s">
        <v>11680</v>
      </c>
      <c r="B217" s="44">
        <f>LANCASHIRE!D15</f>
        <v>45804</v>
      </c>
      <c r="C217" s="45"/>
      <c r="D217" s="46">
        <f t="shared" si="14"/>
        <v>0.61260682903342289</v>
      </c>
    </row>
    <row r="218" spans="1:4">
      <c r="A218" s="43" t="s">
        <v>11681</v>
      </c>
      <c r="B218" s="44">
        <f>LANCASHIRE!D16</f>
        <v>51076</v>
      </c>
      <c r="C218" s="45"/>
      <c r="D218" s="46">
        <f t="shared" si="14"/>
        <v>0.68311733472428415</v>
      </c>
    </row>
    <row r="219" spans="1:4">
      <c r="A219" s="43" t="s">
        <v>11682</v>
      </c>
      <c r="B219" s="44">
        <f>LANCASHIRE!D17</f>
        <v>81624</v>
      </c>
      <c r="C219" s="45"/>
      <c r="D219" s="46">
        <f t="shared" si="14"/>
        <v>1.0916823817357462</v>
      </c>
    </row>
    <row r="220" spans="1:4">
      <c r="A220" s="43" t="s">
        <v>11683</v>
      </c>
      <c r="B220" s="44">
        <f>LANCASHIRE!D18</f>
        <v>82644</v>
      </c>
      <c r="C220" s="45"/>
      <c r="D220" s="46">
        <f t="shared" si="14"/>
        <v>1.1053243991493802</v>
      </c>
    </row>
    <row r="221" spans="1:4">
      <c r="A221" s="43" t="s">
        <v>11684</v>
      </c>
      <c r="B221" s="44">
        <f>LANCASHIRE!D19</f>
        <v>82005</v>
      </c>
      <c r="C221" s="45"/>
      <c r="D221" s="46">
        <f t="shared" si="14"/>
        <v>1.0967780764755446</v>
      </c>
    </row>
    <row r="222" spans="1:4">
      <c r="A222" s="43" t="s">
        <v>11685</v>
      </c>
      <c r="B222" s="47">
        <f>SUM(B210:B221)</f>
        <v>857159</v>
      </c>
      <c r="C222" s="42"/>
      <c r="D222" s="46">
        <f t="shared" si="14"/>
        <v>11.464096082601078</v>
      </c>
    </row>
    <row r="223" spans="1:4">
      <c r="A223" s="43" t="s">
        <v>11686</v>
      </c>
      <c r="B223" s="44">
        <f>LANCASHIRE!D4</f>
        <v>96731</v>
      </c>
      <c r="C223" s="45"/>
      <c r="D223" s="46">
        <f t="shared" si="14"/>
        <v>1.2937313592531665</v>
      </c>
    </row>
    <row r="224" spans="1:4">
      <c r="A224" s="43" t="s">
        <v>11687</v>
      </c>
      <c r="B224" s="44">
        <f>LANCASHIRE!D5</f>
        <v>97419</v>
      </c>
      <c r="C224" s="45"/>
      <c r="D224" s="46">
        <f t="shared" si="14"/>
        <v>1.3029330337439313</v>
      </c>
    </row>
    <row r="225" spans="1:4">
      <c r="A225" s="48" t="s">
        <v>11688</v>
      </c>
      <c r="B225" s="44">
        <f>SUM(B222:B224)</f>
        <v>1051309</v>
      </c>
      <c r="C225" s="45"/>
      <c r="D225" s="46">
        <f t="shared" si="14"/>
        <v>14.060760475598176</v>
      </c>
    </row>
    <row r="226" spans="1:4">
      <c r="A226" s="42"/>
      <c r="C226" s="42"/>
      <c r="D226" s="46"/>
    </row>
    <row r="227" spans="1:4">
      <c r="A227" s="43" t="s">
        <v>11689</v>
      </c>
      <c r="B227" s="3">
        <f>MERSEYSIDE!D5</f>
        <v>109974</v>
      </c>
      <c r="C227" s="45"/>
      <c r="D227" s="46">
        <f t="shared" ref="D227:D232" si="15">B227/$B$469</f>
        <v>1.4708502186735144</v>
      </c>
    </row>
    <row r="228" spans="1:4">
      <c r="A228" s="43" t="s">
        <v>11690</v>
      </c>
      <c r="B228" s="3">
        <f>MERSEYSIDE!D6</f>
        <v>303978</v>
      </c>
      <c r="C228" s="45"/>
      <c r="D228" s="46">
        <f t="shared" si="15"/>
        <v>4.0655619307466999</v>
      </c>
    </row>
    <row r="229" spans="1:4">
      <c r="A229" s="43" t="s">
        <v>11213</v>
      </c>
      <c r="B229" s="3">
        <f>MERSEYSIDE!D7</f>
        <v>130576</v>
      </c>
      <c r="C229" s="45"/>
      <c r="D229" s="46">
        <f t="shared" si="15"/>
        <v>1.7463922213751688</v>
      </c>
    </row>
    <row r="230" spans="1:4">
      <c r="A230" s="43" t="s">
        <v>11691</v>
      </c>
      <c r="B230" s="3">
        <f>MERSEYSIDE!D8</f>
        <v>198900</v>
      </c>
      <c r="C230" s="45"/>
      <c r="D230" s="46">
        <f t="shared" si="15"/>
        <v>2.6601933956586286</v>
      </c>
    </row>
    <row r="231" spans="1:4">
      <c r="A231" s="43" t="s">
        <v>11692</v>
      </c>
      <c r="B231" s="3">
        <f>MERSEYSIDE!D9</f>
        <v>234989</v>
      </c>
      <c r="C231" s="45"/>
      <c r="D231" s="46">
        <f t="shared" si="15"/>
        <v>3.1428666960906257</v>
      </c>
    </row>
    <row r="232" spans="1:4">
      <c r="A232" s="43" t="s">
        <v>11693</v>
      </c>
      <c r="B232" s="44">
        <f>SUM(B227:B231)</f>
        <v>978417</v>
      </c>
      <c r="C232" s="45"/>
      <c r="D232" s="46">
        <f t="shared" si="15"/>
        <v>13.085864462544638</v>
      </c>
    </row>
    <row r="233" spans="1:4">
      <c r="A233" s="43"/>
      <c r="B233" s="44"/>
      <c r="C233" s="45"/>
      <c r="D233" s="46"/>
    </row>
    <row r="234" spans="1:4">
      <c r="A234" s="52" t="s">
        <v>11694</v>
      </c>
      <c r="B234" s="53">
        <f>B188+B196+B208+B225+B232</f>
        <v>5074302</v>
      </c>
      <c r="C234" s="53"/>
      <c r="D234" s="51">
        <f>B234/$B$469</f>
        <v>67.866388476507638</v>
      </c>
    </row>
    <row r="235" spans="1:4">
      <c r="A235" s="43"/>
      <c r="B235" s="44"/>
      <c r="C235" s="45"/>
      <c r="D235" s="46"/>
    </row>
    <row r="236" spans="1:4">
      <c r="A236" s="43" t="s">
        <v>619</v>
      </c>
      <c r="B236" s="44"/>
      <c r="C236" s="45"/>
    </row>
    <row r="237" spans="1:4">
      <c r="A237" s="52"/>
      <c r="B237" s="134"/>
      <c r="C237" s="134"/>
      <c r="D237" s="134"/>
    </row>
    <row r="238" spans="1:4">
      <c r="A238" s="43" t="s">
        <v>13675</v>
      </c>
      <c r="B238" s="44">
        <f>'"BERKSHIRE"'!D3</f>
        <v>82150</v>
      </c>
      <c r="C238" s="45"/>
      <c r="D238" s="46">
        <f t="shared" ref="D238:D301" si="16">B238/$B$469</f>
        <v>1.0987173828725809</v>
      </c>
    </row>
    <row r="239" spans="1:4">
      <c r="A239" s="43" t="s">
        <v>13676</v>
      </c>
      <c r="B239" s="44">
        <f>'"BERKSHIRE"'!D4</f>
        <v>95878</v>
      </c>
      <c r="C239" s="45"/>
      <c r="D239" s="46">
        <f t="shared" si="16"/>
        <v>1.282322887827843</v>
      </c>
    </row>
    <row r="240" spans="1:4">
      <c r="A240" s="43" t="s">
        <v>13677</v>
      </c>
      <c r="B240" s="44">
        <f>'"BERKSHIRE"'!D5</f>
        <v>80072</v>
      </c>
      <c r="C240" s="45"/>
      <c r="D240" s="46">
        <f t="shared" si="16"/>
        <v>1.0709251160240207</v>
      </c>
    </row>
    <row r="241" spans="1:4">
      <c r="A241" s="43" t="s">
        <v>13678</v>
      </c>
      <c r="B241" s="44">
        <f>'"BERKSHIRE"'!D6</f>
        <v>114469</v>
      </c>
      <c r="C241" s="45"/>
      <c r="D241" s="46">
        <f t="shared" si="16"/>
        <v>1.5309687169816368</v>
      </c>
    </row>
    <row r="242" spans="1:4">
      <c r="A242" s="43" t="s">
        <v>13679</v>
      </c>
      <c r="B242" s="44">
        <f>'"BERKSHIRE"'!D7</f>
        <v>97048</v>
      </c>
      <c r="C242" s="45"/>
      <c r="D242" s="46">
        <f t="shared" si="16"/>
        <v>1.2979710842728938</v>
      </c>
    </row>
    <row r="243" spans="1:4">
      <c r="A243" s="43" t="s">
        <v>13680</v>
      </c>
      <c r="B243" s="44">
        <f>'"BERKSHIRE"'!D8</f>
        <v>118059</v>
      </c>
      <c r="C243" s="45"/>
      <c r="D243" s="46">
        <f t="shared" si="16"/>
        <v>1.5789832684668781</v>
      </c>
    </row>
    <row r="244" spans="1:4">
      <c r="A244" s="48" t="s">
        <v>13681</v>
      </c>
      <c r="B244" s="44">
        <f>SUM(B238:B243)</f>
        <v>587676</v>
      </c>
      <c r="C244" s="45"/>
      <c r="D244" s="46">
        <f t="shared" si="16"/>
        <v>7.8598884564458533</v>
      </c>
    </row>
    <row r="245" spans="1:4">
      <c r="A245" s="43"/>
      <c r="B245" s="44"/>
      <c r="C245" s="45"/>
      <c r="D245" s="46"/>
    </row>
    <row r="246" spans="1:4">
      <c r="A246" s="43" t="s">
        <v>13682</v>
      </c>
      <c r="B246" s="44">
        <f>BUCKINGHAMSHIRE!D7</f>
        <v>128777</v>
      </c>
      <c r="C246" s="45"/>
      <c r="D246" s="46">
        <f t="shared" si="16"/>
        <v>1.7223314475250437</v>
      </c>
    </row>
    <row r="247" spans="1:4">
      <c r="A247" s="43" t="s">
        <v>13683</v>
      </c>
      <c r="B247" s="44">
        <f>BUCKINGHAMSHIRE!D8</f>
        <v>68560</v>
      </c>
      <c r="C247" s="45"/>
      <c r="D247" s="46">
        <f t="shared" si="16"/>
        <v>0.91695756262622208</v>
      </c>
    </row>
    <row r="248" spans="1:4">
      <c r="A248" s="43" t="s">
        <v>13684</v>
      </c>
      <c r="B248" s="44">
        <f>BUCKINGHAMSHIRE!D9</f>
        <v>50332</v>
      </c>
      <c r="C248" s="45"/>
      <c r="D248" s="46">
        <f t="shared" si="16"/>
        <v>0.67316668672845703</v>
      </c>
    </row>
    <row r="249" spans="1:4">
      <c r="A249" s="43" t="s">
        <v>13685</v>
      </c>
      <c r="B249" s="44">
        <f>BUCKINGHAMSHIRE!D10</f>
        <v>118932</v>
      </c>
      <c r="C249" s="45"/>
      <c r="D249" s="46">
        <f t="shared" si="16"/>
        <v>1.5906592304297236</v>
      </c>
    </row>
    <row r="250" spans="1:4">
      <c r="A250" s="42" t="s">
        <v>13686</v>
      </c>
      <c r="B250" s="47">
        <f>SUM(B246:B249)</f>
        <v>366601</v>
      </c>
      <c r="C250" s="42"/>
      <c r="D250" s="46">
        <f t="shared" si="16"/>
        <v>4.9031149273094465</v>
      </c>
    </row>
    <row r="251" spans="1:4">
      <c r="A251" s="43" t="s">
        <v>13687</v>
      </c>
      <c r="B251" s="44">
        <f>BUCKINGHAMSHIRE!D4</f>
        <v>169933</v>
      </c>
      <c r="C251" s="45"/>
      <c r="D251" s="46">
        <f t="shared" si="16"/>
        <v>2.2727734756382993</v>
      </c>
    </row>
    <row r="252" spans="1:4">
      <c r="A252" s="750" t="s">
        <v>13688</v>
      </c>
      <c r="B252" s="47">
        <f>B250+B251</f>
        <v>536534</v>
      </c>
      <c r="C252" s="42"/>
      <c r="D252" s="46">
        <f t="shared" si="16"/>
        <v>7.1758884029477459</v>
      </c>
    </row>
    <row r="253" spans="1:4">
      <c r="A253" s="43"/>
      <c r="B253" s="44"/>
      <c r="C253" s="45"/>
      <c r="D253" s="46"/>
    </row>
    <row r="254" spans="1:4">
      <c r="A254" s="43" t="s">
        <v>6217</v>
      </c>
      <c r="B254" s="44">
        <f>'EAST SUSSEX'!D7</f>
        <v>68506</v>
      </c>
      <c r="C254" s="45"/>
      <c r="D254" s="46">
        <f t="shared" si="16"/>
        <v>0.9162353381749121</v>
      </c>
    </row>
    <row r="255" spans="1:4">
      <c r="A255" s="43" t="s">
        <v>13689</v>
      </c>
      <c r="B255" s="44">
        <f>'EAST SUSSEX'!D8</f>
        <v>57390</v>
      </c>
      <c r="C255" s="45"/>
      <c r="D255" s="46">
        <f t="shared" si="16"/>
        <v>0.76756409742005371</v>
      </c>
    </row>
    <row r="256" spans="1:4">
      <c r="A256" s="43" t="s">
        <v>13690</v>
      </c>
      <c r="B256" s="44">
        <f>'EAST SUSSEX'!D9</f>
        <v>70806</v>
      </c>
      <c r="C256" s="45"/>
      <c r="D256" s="46">
        <f t="shared" si="16"/>
        <v>0.94699674998996908</v>
      </c>
    </row>
    <row r="257" spans="1:4">
      <c r="A257" s="43" t="s">
        <v>4276</v>
      </c>
      <c r="B257" s="44">
        <f>'EAST SUSSEX'!D10</f>
        <v>69941</v>
      </c>
      <c r="C257" s="45"/>
      <c r="D257" s="46">
        <f t="shared" si="16"/>
        <v>0.93542778424213247</v>
      </c>
    </row>
    <row r="258" spans="1:4">
      <c r="A258" s="43" t="s">
        <v>13691</v>
      </c>
      <c r="B258" s="44">
        <f>'EAST SUSSEX'!D11</f>
        <v>116583</v>
      </c>
      <c r="C258" s="45"/>
      <c r="D258" s="46">
        <f t="shared" si="16"/>
        <v>1.5592424667977369</v>
      </c>
    </row>
    <row r="259" spans="1:4">
      <c r="A259" s="43" t="s">
        <v>13692</v>
      </c>
      <c r="B259" s="47">
        <f>SUM(B254:B258)</f>
        <v>383226</v>
      </c>
      <c r="C259" s="42"/>
      <c r="D259" s="46">
        <f t="shared" si="16"/>
        <v>5.1254664366248042</v>
      </c>
    </row>
    <row r="260" spans="1:4">
      <c r="A260" s="43" t="s">
        <v>13693</v>
      </c>
      <c r="B260" s="44">
        <f>'EAST SUSSEX'!D4</f>
        <v>183038</v>
      </c>
      <c r="C260" s="45"/>
      <c r="D260" s="46">
        <f t="shared" si="16"/>
        <v>2.448046650349744</v>
      </c>
    </row>
    <row r="261" spans="1:4">
      <c r="A261" s="48" t="s">
        <v>13694</v>
      </c>
      <c r="B261" s="44">
        <f>B259+B260</f>
        <v>566264</v>
      </c>
      <c r="C261" s="45"/>
      <c r="D261" s="46">
        <f t="shared" si="16"/>
        <v>7.5735130869745486</v>
      </c>
    </row>
    <row r="262" spans="1:4">
      <c r="A262" s="43"/>
      <c r="B262" s="44"/>
      <c r="C262" s="45"/>
      <c r="D262" s="46"/>
    </row>
    <row r="263" spans="1:4">
      <c r="A263" s="43" t="s">
        <v>13695</v>
      </c>
      <c r="B263" s="44">
        <f>HAMPSHIRE!D8</f>
        <v>124473</v>
      </c>
      <c r="C263" s="45"/>
      <c r="D263" s="46">
        <f t="shared" si="16"/>
        <v>1.6647674838502589</v>
      </c>
    </row>
    <row r="264" spans="1:4">
      <c r="A264" s="43" t="s">
        <v>13696</v>
      </c>
      <c r="B264" s="44">
        <f>HAMPSHIRE!D9</f>
        <v>86488</v>
      </c>
      <c r="C264" s="45"/>
      <c r="D264" s="46">
        <f t="shared" si="16"/>
        <v>1.1567360804611537</v>
      </c>
    </row>
    <row r="265" spans="1:4">
      <c r="A265" s="43" t="s">
        <v>13697</v>
      </c>
      <c r="B265" s="44">
        <f>HAMPSHIRE!D10</f>
        <v>94165</v>
      </c>
      <c r="C265" s="45"/>
      <c r="D265" s="46">
        <f t="shared" si="16"/>
        <v>1.2594123232890637</v>
      </c>
    </row>
    <row r="266" spans="1:4">
      <c r="A266" s="43" t="s">
        <v>13698</v>
      </c>
      <c r="B266" s="44">
        <f>HAMPSHIRE!D11</f>
        <v>87138</v>
      </c>
      <c r="C266" s="45"/>
      <c r="D266" s="46">
        <f t="shared" si="16"/>
        <v>1.1654295229306264</v>
      </c>
    </row>
    <row r="267" spans="1:4">
      <c r="A267" s="43" t="s">
        <v>13699</v>
      </c>
      <c r="B267" s="44">
        <f>HAMPSHIRE!D12</f>
        <v>60943</v>
      </c>
      <c r="C267" s="45"/>
      <c r="D267" s="46">
        <f t="shared" si="16"/>
        <v>0.81508379141087883</v>
      </c>
    </row>
    <row r="268" spans="1:4">
      <c r="A268" s="43" t="s">
        <v>6043</v>
      </c>
      <c r="B268" s="44">
        <f>HAMPSHIRE!D13</f>
        <v>67763</v>
      </c>
      <c r="C268" s="45"/>
      <c r="D268" s="46">
        <f t="shared" si="16"/>
        <v>0.90629806470596108</v>
      </c>
    </row>
    <row r="269" spans="1:4">
      <c r="A269" s="43" t="s">
        <v>13700</v>
      </c>
      <c r="B269" s="44">
        <f>HAMPSHIRE!D14</f>
        <v>92313</v>
      </c>
      <c r="C269" s="45"/>
      <c r="D269" s="46">
        <f t="shared" si="16"/>
        <v>1.2346426995145048</v>
      </c>
    </row>
    <row r="270" spans="1:4">
      <c r="A270" s="43" t="s">
        <v>13701</v>
      </c>
      <c r="B270" s="44">
        <f>HAMPSHIRE!D15</f>
        <v>137973</v>
      </c>
      <c r="C270" s="45"/>
      <c r="D270" s="46">
        <f t="shared" si="16"/>
        <v>1.8453235966777675</v>
      </c>
    </row>
    <row r="271" spans="1:4">
      <c r="A271" s="43" t="s">
        <v>13702</v>
      </c>
      <c r="B271" s="44">
        <f>HAMPSHIRE!D16</f>
        <v>62487</v>
      </c>
      <c r="C271" s="45"/>
      <c r="D271" s="46">
        <f t="shared" si="16"/>
        <v>0.83573406090759539</v>
      </c>
    </row>
    <row r="272" spans="1:4">
      <c r="A272" s="43" t="s">
        <v>13703</v>
      </c>
      <c r="B272" s="44">
        <f>HAMPSHIRE!D17</f>
        <v>90897</v>
      </c>
      <c r="C272" s="45"/>
      <c r="D272" s="46">
        <f t="shared" si="16"/>
        <v>1.2157043694579304</v>
      </c>
    </row>
    <row r="273" spans="1:4">
      <c r="A273" s="43" t="s">
        <v>13704</v>
      </c>
      <c r="B273" s="44">
        <f>HAMPSHIRE!D18</f>
        <v>85795</v>
      </c>
      <c r="C273" s="45"/>
      <c r="D273" s="46">
        <f t="shared" si="16"/>
        <v>1.1474675333360083</v>
      </c>
    </row>
    <row r="274" spans="1:4">
      <c r="A274" s="43" t="s">
        <v>13705</v>
      </c>
      <c r="B274" s="47">
        <f>SUM(B263:B273)</f>
        <v>990435</v>
      </c>
      <c r="C274" s="42"/>
      <c r="D274" s="46">
        <f t="shared" si="16"/>
        <v>13.246599526541749</v>
      </c>
    </row>
    <row r="275" spans="1:4">
      <c r="A275" s="43" t="s">
        <v>13706</v>
      </c>
      <c r="B275" s="44">
        <f>HAMPSHIRE!D4</f>
        <v>134892</v>
      </c>
      <c r="C275" s="45"/>
      <c r="D275" s="46">
        <f t="shared" si="16"/>
        <v>1.8041166793724672</v>
      </c>
    </row>
    <row r="276" spans="1:4">
      <c r="A276" s="43" t="s">
        <v>13707</v>
      </c>
      <c r="B276" s="44">
        <f>HAMPSHIRE!D5</f>
        <v>148179</v>
      </c>
      <c r="C276" s="45"/>
      <c r="D276" s="46">
        <f t="shared" si="16"/>
        <v>1.9818240179753641</v>
      </c>
    </row>
    <row r="277" spans="1:4">
      <c r="A277" s="48" t="s">
        <v>13708</v>
      </c>
      <c r="B277" s="44">
        <f>SUM(B274:B276)</f>
        <v>1273506</v>
      </c>
      <c r="C277" s="45"/>
      <c r="D277" s="46">
        <f t="shared" si="16"/>
        <v>17.03254022388958</v>
      </c>
    </row>
    <row r="278" spans="1:4">
      <c r="A278" s="43"/>
      <c r="B278" s="44"/>
      <c r="C278" s="45"/>
      <c r="D278" s="46"/>
    </row>
    <row r="279" spans="1:4">
      <c r="A279" s="43" t="s">
        <v>13709</v>
      </c>
      <c r="B279" s="44">
        <f>'ISLE OF WIGHT'!D3</f>
        <v>105448</v>
      </c>
      <c r="C279" s="45"/>
      <c r="D279" s="46">
        <f t="shared" si="16"/>
        <v>1.4103171100322327</v>
      </c>
    </row>
    <row r="280" spans="1:4">
      <c r="A280" s="43"/>
      <c r="B280" s="44"/>
      <c r="C280" s="45"/>
      <c r="D280" s="46"/>
    </row>
    <row r="281" spans="1:4">
      <c r="A281" s="43" t="s">
        <v>13710</v>
      </c>
      <c r="B281" s="44">
        <f>KENT!D7</f>
        <v>86610</v>
      </c>
      <c r="C281" s="45"/>
      <c r="D281" s="46">
        <f t="shared" si="16"/>
        <v>1.1583677727400392</v>
      </c>
    </row>
    <row r="282" spans="1:4">
      <c r="A282" s="43" t="s">
        <v>13711</v>
      </c>
      <c r="B282" s="44">
        <f>KENT!D8</f>
        <v>100437</v>
      </c>
      <c r="C282" s="45"/>
      <c r="D282" s="46">
        <f t="shared" si="16"/>
        <v>1.3432973558560366</v>
      </c>
    </row>
    <row r="283" spans="1:4">
      <c r="A283" s="43" t="s">
        <v>13712</v>
      </c>
      <c r="B283" s="44">
        <f>KENT!D9</f>
        <v>72180</v>
      </c>
      <c r="C283" s="45"/>
      <c r="D283" s="46">
        <f t="shared" si="16"/>
        <v>0.9653733499177467</v>
      </c>
    </row>
    <row r="284" spans="1:4">
      <c r="A284" s="43" t="s">
        <v>13713</v>
      </c>
      <c r="B284" s="44">
        <f>KENT!D10</f>
        <v>84023</v>
      </c>
      <c r="C284" s="45"/>
      <c r="D284" s="46">
        <f t="shared" si="16"/>
        <v>1.1237678717115382</v>
      </c>
    </row>
    <row r="285" spans="1:4">
      <c r="A285" s="43" t="s">
        <v>13714</v>
      </c>
      <c r="B285" s="44">
        <f>KENT!D11</f>
        <v>70477</v>
      </c>
      <c r="C285" s="45"/>
      <c r="D285" s="46">
        <f t="shared" si="16"/>
        <v>0.9425965306477283</v>
      </c>
    </row>
    <row r="286" spans="1:4">
      <c r="A286" s="43" t="s">
        <v>13715</v>
      </c>
      <c r="B286" s="44">
        <f>KENT!D12</f>
        <v>108432</v>
      </c>
      <c r="C286" s="45"/>
      <c r="D286" s="46">
        <f t="shared" si="16"/>
        <v>1.4502266982305501</v>
      </c>
    </row>
    <row r="287" spans="1:4">
      <c r="A287" s="43" t="s">
        <v>13716</v>
      </c>
      <c r="B287" s="44">
        <f>KENT!D13</f>
        <v>85867</v>
      </c>
      <c r="C287" s="45"/>
      <c r="D287" s="46">
        <f t="shared" si="16"/>
        <v>1.1484304992710883</v>
      </c>
    </row>
    <row r="288" spans="1:4">
      <c r="A288" s="43" t="s">
        <v>13717</v>
      </c>
      <c r="B288" s="44">
        <f>KENT!D14</f>
        <v>77333</v>
      </c>
      <c r="C288" s="45"/>
      <c r="D288" s="46">
        <f t="shared" si="16"/>
        <v>1.0342922869103506</v>
      </c>
    </row>
    <row r="289" spans="1:4">
      <c r="A289" s="43" t="s">
        <v>13718</v>
      </c>
      <c r="B289" s="44">
        <f>KENT!D15</f>
        <v>96025</v>
      </c>
      <c r="C289" s="45"/>
      <c r="D289" s="46">
        <f t="shared" si="16"/>
        <v>1.2842889432786315</v>
      </c>
    </row>
    <row r="290" spans="1:4">
      <c r="A290" s="43" t="s">
        <v>13719</v>
      </c>
      <c r="B290" s="44">
        <f>KENT!D16</f>
        <v>96967</v>
      </c>
      <c r="C290" s="45"/>
      <c r="D290" s="46">
        <f t="shared" si="16"/>
        <v>1.2968877475959288</v>
      </c>
    </row>
    <row r="291" spans="1:4">
      <c r="A291" s="43" t="s">
        <v>13720</v>
      </c>
      <c r="B291" s="44">
        <f>KENT!D17</f>
        <v>90032</v>
      </c>
      <c r="C291" s="45"/>
      <c r="D291" s="46">
        <f t="shared" si="16"/>
        <v>1.2041354037100938</v>
      </c>
    </row>
    <row r="292" spans="1:4">
      <c r="A292" s="43" t="s">
        <v>13721</v>
      </c>
      <c r="B292" s="44">
        <f>KENT!D18</f>
        <v>76380</v>
      </c>
      <c r="C292" s="45"/>
      <c r="D292" s="46">
        <f t="shared" si="16"/>
        <v>1.021546362797416</v>
      </c>
    </row>
    <row r="293" spans="1:4">
      <c r="A293" s="43" t="s">
        <v>13722</v>
      </c>
      <c r="B293" s="47">
        <f>SUM(B281:B292)</f>
        <v>1044763</v>
      </c>
      <c r="C293" s="42"/>
      <c r="D293" s="46">
        <f t="shared" si="16"/>
        <v>13.973210822667149</v>
      </c>
    </row>
    <row r="294" spans="1:4">
      <c r="A294" s="43" t="s">
        <v>13723</v>
      </c>
      <c r="B294" s="44">
        <f>KENT!D4</f>
        <v>182325</v>
      </c>
      <c r="C294" s="45"/>
      <c r="D294" s="46">
        <f t="shared" si="16"/>
        <v>2.4385106126870761</v>
      </c>
    </row>
    <row r="295" spans="1:4">
      <c r="A295" s="48" t="s">
        <v>13724</v>
      </c>
      <c r="B295" s="44">
        <f>B293+B294</f>
        <v>1227088</v>
      </c>
      <c r="C295" s="45"/>
      <c r="D295" s="46">
        <f t="shared" si="16"/>
        <v>16.411721435354224</v>
      </c>
    </row>
    <row r="296" spans="1:4">
      <c r="A296" s="43"/>
      <c r="B296" s="44"/>
      <c r="C296" s="45"/>
      <c r="D296" s="46"/>
    </row>
    <row r="297" spans="1:4">
      <c r="A297" s="43" t="s">
        <v>13725</v>
      </c>
      <c r="B297" s="44">
        <f>OXFORDSHIRE!D5</f>
        <v>103843</v>
      </c>
      <c r="C297" s="45"/>
      <c r="D297" s="46">
        <f t="shared" si="16"/>
        <v>1.3888509943960732</v>
      </c>
    </row>
    <row r="298" spans="1:4">
      <c r="A298" s="43" t="s">
        <v>13726</v>
      </c>
      <c r="B298" s="44">
        <f>OXFORDSHIRE!D6</f>
        <v>88712</v>
      </c>
      <c r="C298" s="45"/>
      <c r="D298" s="46">
        <f t="shared" si="16"/>
        <v>1.1864810282336262</v>
      </c>
    </row>
    <row r="299" spans="1:4">
      <c r="A299" s="43" t="s">
        <v>13727</v>
      </c>
      <c r="B299" s="44">
        <f>OXFORDSHIRE!D7</f>
        <v>99880</v>
      </c>
      <c r="C299" s="45"/>
      <c r="D299" s="46">
        <f t="shared" si="16"/>
        <v>1.3358477443860424</v>
      </c>
    </row>
    <row r="300" spans="1:4">
      <c r="A300" s="43" t="s">
        <v>13728</v>
      </c>
      <c r="B300" s="44">
        <f>OXFORDSHIRE!D8</f>
        <v>90444</v>
      </c>
      <c r="C300" s="45"/>
      <c r="D300" s="46">
        <f t="shared" si="16"/>
        <v>1.2096457087830519</v>
      </c>
    </row>
    <row r="301" spans="1:4">
      <c r="A301" s="43" t="s">
        <v>13729</v>
      </c>
      <c r="B301" s="44">
        <f>OXFORDSHIRE!D9</f>
        <v>78455</v>
      </c>
      <c r="C301" s="45"/>
      <c r="D301" s="46">
        <f t="shared" si="16"/>
        <v>1.0492985060653479</v>
      </c>
    </row>
    <row r="302" spans="1:4">
      <c r="A302" s="43" t="s">
        <v>13730</v>
      </c>
      <c r="B302" s="44">
        <f>SUM(B297:B301)</f>
        <v>461334</v>
      </c>
      <c r="C302" s="45"/>
      <c r="D302" s="46">
        <f t="shared" ref="D302:D326" si="17">B302/$B$469</f>
        <v>6.1701239818641413</v>
      </c>
    </row>
    <row r="303" spans="1:4">
      <c r="A303" s="43"/>
      <c r="B303" s="44"/>
      <c r="C303" s="45"/>
      <c r="D303" s="46"/>
    </row>
    <row r="304" spans="1:4">
      <c r="A304" s="43" t="s">
        <v>394</v>
      </c>
      <c r="B304" s="44">
        <f>SURREY!D5</f>
        <v>93712</v>
      </c>
      <c r="C304" s="45"/>
      <c r="D304" s="46">
        <f t="shared" si="17"/>
        <v>1.253353662614185</v>
      </c>
    </row>
    <row r="305" spans="1:4">
      <c r="A305" s="43" t="s">
        <v>13731</v>
      </c>
      <c r="B305" s="44">
        <f>SURREY!D6</f>
        <v>54801</v>
      </c>
      <c r="C305" s="45"/>
      <c r="D305" s="46">
        <f t="shared" si="17"/>
        <v>0.73293744733780042</v>
      </c>
    </row>
    <row r="306" spans="1:4">
      <c r="A306" s="43" t="s">
        <v>13732</v>
      </c>
      <c r="B306" s="44">
        <f>SURREY!D7</f>
        <v>98505</v>
      </c>
      <c r="C306" s="45"/>
      <c r="D306" s="46">
        <f t="shared" si="17"/>
        <v>1.3174577699313887</v>
      </c>
    </row>
    <row r="307" spans="1:4">
      <c r="A307" s="43" t="s">
        <v>13733</v>
      </c>
      <c r="B307" s="44">
        <f>SURREY!D8</f>
        <v>64797</v>
      </c>
      <c r="C307" s="45"/>
      <c r="D307" s="46">
        <f t="shared" si="17"/>
        <v>0.86662921799141357</v>
      </c>
    </row>
    <row r="308" spans="1:4">
      <c r="A308" s="43" t="s">
        <v>13734</v>
      </c>
      <c r="B308" s="44">
        <f>SURREY!D9</f>
        <v>99976</v>
      </c>
      <c r="C308" s="45"/>
      <c r="D308" s="46">
        <f t="shared" si="17"/>
        <v>1.337131698966149</v>
      </c>
    </row>
    <row r="309" spans="1:4">
      <c r="A309" s="43" t="s">
        <v>13735</v>
      </c>
      <c r="B309" s="44">
        <f>SURREY!D10</f>
        <v>55472</v>
      </c>
      <c r="C309" s="45"/>
      <c r="D309" s="46">
        <f t="shared" si="17"/>
        <v>0.74191175487167138</v>
      </c>
    </row>
    <row r="310" spans="1:4">
      <c r="A310" s="43" t="s">
        <v>13736</v>
      </c>
      <c r="B310" s="44">
        <f>SURREY!D11</f>
        <v>70299</v>
      </c>
      <c r="C310" s="45"/>
      <c r="D310" s="46">
        <f t="shared" si="17"/>
        <v>0.94021586486378039</v>
      </c>
    </row>
    <row r="311" spans="1:4">
      <c r="A311" s="43" t="s">
        <v>13737</v>
      </c>
      <c r="B311" s="44">
        <f>SURREY!D12</f>
        <v>62634</v>
      </c>
      <c r="C311" s="45"/>
      <c r="D311" s="46">
        <f t="shared" si="17"/>
        <v>0.83770011635838382</v>
      </c>
    </row>
    <row r="312" spans="1:4">
      <c r="A312" s="43" t="s">
        <v>13738</v>
      </c>
      <c r="B312" s="44">
        <f>SURREY!D13</f>
        <v>60505</v>
      </c>
      <c r="C312" s="45"/>
      <c r="D312" s="46">
        <f t="shared" si="17"/>
        <v>0.80922574863914187</v>
      </c>
    </row>
    <row r="313" spans="1:4">
      <c r="A313" s="43" t="s">
        <v>13739</v>
      </c>
      <c r="B313" s="44">
        <f>SURREY!D14</f>
        <v>88240</v>
      </c>
      <c r="C313" s="45"/>
      <c r="D313" s="46">
        <f t="shared" si="17"/>
        <v>1.1801682515481016</v>
      </c>
    </row>
    <row r="314" spans="1:4">
      <c r="A314" s="43" t="s">
        <v>13740</v>
      </c>
      <c r="B314" s="44">
        <f>SURREY!D15</f>
        <v>67583</v>
      </c>
      <c r="C314" s="45"/>
      <c r="D314" s="46">
        <f t="shared" si="17"/>
        <v>0.90389064986826095</v>
      </c>
    </row>
    <row r="315" spans="1:4">
      <c r="A315" s="43" t="s">
        <v>13741</v>
      </c>
      <c r="B315" s="44">
        <f>SUM(B304:B314)</f>
        <v>816524</v>
      </c>
      <c r="C315" s="45"/>
      <c r="D315" s="46">
        <f t="shared" si="17"/>
        <v>10.920622182990277</v>
      </c>
    </row>
    <row r="316" spans="1:4">
      <c r="A316" s="43"/>
      <c r="B316" s="44"/>
      <c r="C316" s="45"/>
      <c r="D316" s="46"/>
    </row>
    <row r="317" spans="1:4">
      <c r="A317" s="43" t="s">
        <v>13742</v>
      </c>
      <c r="B317" s="44">
        <f>'WEST SUSSEX'!D5</f>
        <v>46643</v>
      </c>
      <c r="C317" s="45"/>
      <c r="D317" s="46">
        <f t="shared" si="17"/>
        <v>0.62382805708248068</v>
      </c>
    </row>
    <row r="318" spans="1:4">
      <c r="A318" s="43" t="s">
        <v>13743</v>
      </c>
      <c r="B318" s="44">
        <f>'WEST SUSSEX'!D6</f>
        <v>113193</v>
      </c>
      <c r="C318" s="45"/>
      <c r="D318" s="46">
        <f t="shared" si="17"/>
        <v>1.5139028206877181</v>
      </c>
    </row>
    <row r="319" spans="1:4">
      <c r="A319" s="43" t="s">
        <v>13744</v>
      </c>
      <c r="B319" s="44">
        <f>'WEST SUSSEX'!D7</f>
        <v>85960</v>
      </c>
      <c r="C319" s="45"/>
      <c r="D319" s="46">
        <f t="shared" si="17"/>
        <v>1.1496743302705668</v>
      </c>
    </row>
    <row r="320" spans="1:4">
      <c r="A320" s="43" t="s">
        <v>6962</v>
      </c>
      <c r="B320" s="44">
        <f>'WEST SUSSEX'!D8</f>
        <v>70578</v>
      </c>
      <c r="C320" s="45"/>
      <c r="D320" s="46">
        <f t="shared" si="17"/>
        <v>0.94394735786221562</v>
      </c>
    </row>
    <row r="321" spans="1:4">
      <c r="A321" s="43" t="s">
        <v>13745</v>
      </c>
      <c r="B321" s="44">
        <f>'WEST SUSSEX'!D9</f>
        <v>100288</v>
      </c>
      <c r="C321" s="45"/>
      <c r="D321" s="46">
        <f t="shared" si="17"/>
        <v>1.3413045513514958</v>
      </c>
    </row>
    <row r="322" spans="1:4">
      <c r="A322" s="43" t="s">
        <v>13746</v>
      </c>
      <c r="B322" s="44">
        <f>'WEST SUSSEX'!D10</f>
        <v>104358</v>
      </c>
      <c r="C322" s="45"/>
      <c r="D322" s="46">
        <f t="shared" si="17"/>
        <v>1.3957388757372708</v>
      </c>
    </row>
    <row r="323" spans="1:4">
      <c r="A323" s="43" t="s">
        <v>13747</v>
      </c>
      <c r="B323" s="44">
        <f>'WEST SUSSEX'!D11</f>
        <v>77529</v>
      </c>
      <c r="C323" s="45"/>
      <c r="D323" s="46">
        <f t="shared" si="17"/>
        <v>1.0369136941780686</v>
      </c>
    </row>
    <row r="324" spans="1:4">
      <c r="A324" s="43" t="s">
        <v>13748</v>
      </c>
      <c r="B324" s="44">
        <f>SUM(B317:B323)</f>
        <v>598549</v>
      </c>
      <c r="C324" s="45"/>
      <c r="D324" s="46">
        <f t="shared" si="17"/>
        <v>8.0053096871698166</v>
      </c>
    </row>
    <row r="325" spans="1:4">
      <c r="A325" s="43"/>
      <c r="B325" s="44"/>
      <c r="C325" s="45"/>
      <c r="D325" s="46"/>
    </row>
    <row r="326" spans="1:4">
      <c r="A326" s="52" t="s">
        <v>13749</v>
      </c>
      <c r="B326" s="53">
        <f>B244+B252+B261+B277+B279+B295+B302+B315+B324</f>
        <v>6172923</v>
      </c>
      <c r="C326" s="399"/>
      <c r="D326" s="51">
        <f t="shared" si="17"/>
        <v>82.559924567668418</v>
      </c>
    </row>
    <row r="327" spans="1:4">
      <c r="A327" s="43"/>
      <c r="B327" s="44"/>
      <c r="C327" s="45"/>
      <c r="D327" s="46"/>
    </row>
    <row r="328" spans="1:4">
      <c r="A328" s="43" t="s">
        <v>619</v>
      </c>
      <c r="B328" s="44" t="s">
        <v>620</v>
      </c>
      <c r="C328" s="45"/>
    </row>
    <row r="329" spans="1:4">
      <c r="A329" s="52"/>
      <c r="B329" s="134"/>
      <c r="C329" s="134"/>
      <c r="D329" s="134"/>
    </row>
    <row r="330" spans="1:4">
      <c r="A330" s="43" t="s">
        <v>1007</v>
      </c>
      <c r="B330" s="44">
        <f>'"AVON"'!D3</f>
        <v>129407</v>
      </c>
      <c r="C330" s="45"/>
      <c r="D330" s="46">
        <f>B330/B$469</f>
        <v>1.7307573994569942</v>
      </c>
    </row>
    <row r="331" spans="1:4">
      <c r="A331" s="43" t="s">
        <v>108</v>
      </c>
      <c r="B331" s="44">
        <f>'"AVON"'!D4</f>
        <v>300195</v>
      </c>
      <c r="C331" s="45"/>
      <c r="D331" s="46">
        <f>B331/B$469</f>
        <v>4.0149660955743691</v>
      </c>
    </row>
    <row r="332" spans="1:4">
      <c r="A332" s="43" t="s">
        <v>694</v>
      </c>
      <c r="B332" s="44">
        <f>'"AVON"'!D5</f>
        <v>151312</v>
      </c>
      <c r="C332" s="45"/>
      <c r="D332" s="46">
        <f>B332/B$469</f>
        <v>2.0237264106782225</v>
      </c>
    </row>
    <row r="333" spans="1:4">
      <c r="A333" s="43" t="s">
        <v>805</v>
      </c>
      <c r="B333" s="44">
        <f>'"AVON"'!D6</f>
        <v>202593</v>
      </c>
      <c r="C333" s="45"/>
      <c r="D333" s="46">
        <f>B333/B$469</f>
        <v>2.7095855234121093</v>
      </c>
    </row>
    <row r="334" spans="1:4">
      <c r="A334" s="48" t="s">
        <v>2020</v>
      </c>
      <c r="B334" s="44">
        <f>SUM(B330:B333)</f>
        <v>783507</v>
      </c>
      <c r="C334" s="45"/>
      <c r="D334" s="46">
        <f>B334/B$469</f>
        <v>10.479035429121694</v>
      </c>
    </row>
    <row r="335" spans="1:4">
      <c r="A335" s="42"/>
      <c r="C335" s="42"/>
      <c r="D335" s="46"/>
    </row>
    <row r="336" spans="1:4">
      <c r="A336" s="43" t="s">
        <v>1010</v>
      </c>
      <c r="B336" s="44">
        <f>CORNWALL!D3</f>
        <v>392223</v>
      </c>
      <c r="C336" s="45"/>
      <c r="D336" s="46">
        <f>B336/B$469</f>
        <v>5.2457970549291817</v>
      </c>
    </row>
    <row r="337" spans="1:4">
      <c r="A337" s="43" t="s">
        <v>618</v>
      </c>
      <c r="B337" s="44">
        <f>CORNWALL!D4</f>
        <v>1651</v>
      </c>
      <c r="C337" s="45"/>
      <c r="D337" s="46">
        <f>B337/B$469</f>
        <v>2.2081343872460513E-2</v>
      </c>
    </row>
    <row r="338" spans="1:4">
      <c r="A338" s="48" t="s">
        <v>789</v>
      </c>
      <c r="B338" s="44">
        <f>SUM(B336:B337)</f>
        <v>393874</v>
      </c>
      <c r="C338" s="45"/>
      <c r="D338" s="46">
        <f>B338/B$469</f>
        <v>5.267878398801642</v>
      </c>
    </row>
    <row r="339" spans="1:4">
      <c r="A339" s="43"/>
      <c r="B339" s="44"/>
      <c r="C339" s="45"/>
      <c r="D339" s="46"/>
    </row>
    <row r="340" spans="1:4">
      <c r="A340" s="43" t="s">
        <v>381</v>
      </c>
      <c r="B340" s="44">
        <f>DEVON!D8</f>
        <v>107456</v>
      </c>
      <c r="C340" s="45"/>
      <c r="D340" s="46">
        <f t="shared" ref="D340:D351" si="18">B340/B$469</f>
        <v>1.437173159999465</v>
      </c>
    </row>
    <row r="341" spans="1:4">
      <c r="A341" s="43" t="s">
        <v>382</v>
      </c>
      <c r="B341" s="44">
        <f>DEVON!D9</f>
        <v>81231</v>
      </c>
      <c r="C341" s="45"/>
      <c r="D341" s="46">
        <f t="shared" si="18"/>
        <v>1.0864261926734342</v>
      </c>
    </row>
    <row r="342" spans="1:4">
      <c r="A342" s="43" t="s">
        <v>383</v>
      </c>
      <c r="B342" s="44">
        <f>DEVON!D10</f>
        <v>57917</v>
      </c>
      <c r="C342" s="45"/>
      <c r="D342" s="46">
        <f t="shared" si="18"/>
        <v>0.77461247308376469</v>
      </c>
    </row>
    <row r="343" spans="1:4">
      <c r="A343" s="43" t="s">
        <v>384</v>
      </c>
      <c r="B343" s="44">
        <f>DEVON!D11</f>
        <v>73240</v>
      </c>
      <c r="C343" s="45"/>
      <c r="D343" s="46">
        <f t="shared" si="18"/>
        <v>0.97955034840642508</v>
      </c>
    </row>
    <row r="344" spans="1:4">
      <c r="A344" s="43" t="s">
        <v>385</v>
      </c>
      <c r="B344" s="44">
        <f>DEVON!D12</f>
        <v>65782</v>
      </c>
      <c r="C344" s="45"/>
      <c r="D344" s="46">
        <f t="shared" si="18"/>
        <v>0.87980312696438367</v>
      </c>
    </row>
    <row r="345" spans="1:4">
      <c r="A345" s="43" t="s">
        <v>386</v>
      </c>
      <c r="B345" s="44">
        <f>DEVON!D13</f>
        <v>99599</v>
      </c>
      <c r="C345" s="45"/>
      <c r="D345" s="46">
        <f t="shared" si="18"/>
        <v>1.332089502333855</v>
      </c>
    </row>
    <row r="346" spans="1:4">
      <c r="A346" s="43" t="s">
        <v>387</v>
      </c>
      <c r="B346" s="44">
        <f>DEVON!D14</f>
        <v>51061</v>
      </c>
      <c r="C346" s="45"/>
      <c r="D346" s="46">
        <f t="shared" si="18"/>
        <v>0.68291671682114241</v>
      </c>
    </row>
    <row r="347" spans="1:4">
      <c r="A347" s="43" t="s">
        <v>388</v>
      </c>
      <c r="B347" s="44">
        <f>DEVON!D15</f>
        <v>41773</v>
      </c>
      <c r="C347" s="45"/>
      <c r="D347" s="46">
        <f t="shared" si="18"/>
        <v>0.55869411119581647</v>
      </c>
    </row>
    <row r="348" spans="1:4">
      <c r="A348" s="43" t="s">
        <v>379</v>
      </c>
      <c r="B348" s="47">
        <f>SUM(B340:B347)</f>
        <v>578059</v>
      </c>
      <c r="C348" s="42"/>
      <c r="D348" s="46">
        <f t="shared" si="18"/>
        <v>7.7312656314782862</v>
      </c>
    </row>
    <row r="349" spans="1:4">
      <c r="A349" s="43" t="s">
        <v>380</v>
      </c>
      <c r="B349" s="44">
        <f>DEVON!D4</f>
        <v>176755</v>
      </c>
      <c r="C349" s="45"/>
      <c r="D349" s="46">
        <f t="shared" si="18"/>
        <v>2.3640144979871338</v>
      </c>
    </row>
    <row r="350" spans="1:4">
      <c r="A350" s="43" t="s">
        <v>615</v>
      </c>
      <c r="B350" s="44">
        <f>DEVON!D5</f>
        <v>97951</v>
      </c>
      <c r="C350" s="45"/>
      <c r="D350" s="46">
        <f t="shared" si="18"/>
        <v>1.3100482820420227</v>
      </c>
    </row>
    <row r="351" spans="1:4">
      <c r="A351" s="48" t="s">
        <v>616</v>
      </c>
      <c r="B351" s="44">
        <f>SUM(B348:B350)</f>
        <v>852765</v>
      </c>
      <c r="C351" s="45"/>
      <c r="D351" s="46">
        <f t="shared" si="18"/>
        <v>11.405328411507442</v>
      </c>
    </row>
    <row r="352" spans="1:4">
      <c r="A352" s="43"/>
      <c r="B352" s="44"/>
      <c r="C352" s="45"/>
      <c r="D352" s="46"/>
    </row>
    <row r="353" spans="1:4">
      <c r="A353" s="43" t="s">
        <v>617</v>
      </c>
      <c r="B353" s="44">
        <f>DORSET!D8</f>
        <v>37903</v>
      </c>
      <c r="C353" s="45"/>
      <c r="D353" s="46">
        <f t="shared" ref="D353:D362" si="19">B353/B$469</f>
        <v>0.50693469218526399</v>
      </c>
    </row>
    <row r="354" spans="1:4">
      <c r="A354" s="43" t="s">
        <v>1029</v>
      </c>
      <c r="B354" s="44">
        <f>DORSET!D9</f>
        <v>69860</v>
      </c>
      <c r="C354" s="45"/>
      <c r="D354" s="46">
        <f t="shared" si="19"/>
        <v>0.93434444756516744</v>
      </c>
    </row>
    <row r="355" spans="1:4">
      <c r="A355" s="43" t="s">
        <v>1030</v>
      </c>
      <c r="B355" s="44">
        <f>DORSET!D10</f>
        <v>49331</v>
      </c>
      <c r="C355" s="45"/>
      <c r="D355" s="46">
        <f t="shared" si="19"/>
        <v>0.65977878532546907</v>
      </c>
    </row>
    <row r="356" spans="1:4">
      <c r="A356" s="43" t="s">
        <v>1031</v>
      </c>
      <c r="B356" s="44">
        <f>DORSET!D11</f>
        <v>34691</v>
      </c>
      <c r="C356" s="45"/>
      <c r="D356" s="46">
        <f t="shared" si="19"/>
        <v>0.46397571185919301</v>
      </c>
    </row>
    <row r="357" spans="1:4">
      <c r="A357" s="43" t="s">
        <v>1032</v>
      </c>
      <c r="B357" s="44">
        <f>DORSET!D12</f>
        <v>77712</v>
      </c>
      <c r="C357" s="45"/>
      <c r="D357" s="46">
        <f t="shared" si="19"/>
        <v>1.039361232596397</v>
      </c>
    </row>
    <row r="358" spans="1:4">
      <c r="A358" s="43" t="s">
        <v>1033</v>
      </c>
      <c r="B358" s="44">
        <f>DORSET!D13</f>
        <v>47525</v>
      </c>
      <c r="C358" s="45"/>
      <c r="D358" s="46">
        <f t="shared" si="19"/>
        <v>0.63562438978721125</v>
      </c>
    </row>
    <row r="359" spans="1:4">
      <c r="A359" s="43" t="s">
        <v>1034</v>
      </c>
      <c r="B359" s="47">
        <f>SUM(B353:B358)</f>
        <v>317022</v>
      </c>
      <c r="C359" s="42"/>
      <c r="D359" s="46">
        <f t="shared" si="19"/>
        <v>4.2400192593187018</v>
      </c>
    </row>
    <row r="360" spans="1:4">
      <c r="A360" s="43" t="s">
        <v>1035</v>
      </c>
      <c r="B360" s="44">
        <f>DORSET!D4</f>
        <v>130405</v>
      </c>
      <c r="C360" s="45"/>
      <c r="D360" s="46">
        <f t="shared" si="19"/>
        <v>1.7441051772793537</v>
      </c>
    </row>
    <row r="361" spans="1:4">
      <c r="A361" s="43" t="s">
        <v>1036</v>
      </c>
      <c r="B361" s="44">
        <f>DORSET!D5</f>
        <v>108333</v>
      </c>
      <c r="C361" s="45"/>
      <c r="D361" s="46">
        <f t="shared" si="19"/>
        <v>1.448902620069815</v>
      </c>
    </row>
    <row r="362" spans="1:4">
      <c r="A362" s="48" t="s">
        <v>1037</v>
      </c>
      <c r="B362" s="44">
        <f>SUM(B359:B361)</f>
        <v>555760</v>
      </c>
      <c r="C362" s="45"/>
      <c r="D362" s="46">
        <f t="shared" si="19"/>
        <v>7.4330270566678704</v>
      </c>
    </row>
    <row r="363" spans="1:4">
      <c r="A363" s="48"/>
      <c r="B363" s="44"/>
      <c r="C363" s="45"/>
      <c r="D363" s="46"/>
    </row>
    <row r="364" spans="1:4">
      <c r="A364" s="43" t="s">
        <v>1038</v>
      </c>
      <c r="B364" s="44">
        <f>GLOUCESTERSHIRE!D5</f>
        <v>85812</v>
      </c>
      <c r="C364" s="45"/>
      <c r="D364" s="46">
        <f t="shared" ref="D364:D370" si="20">B364/B$469</f>
        <v>1.1476949002929022</v>
      </c>
    </row>
    <row r="365" spans="1:4">
      <c r="A365" s="43" t="s">
        <v>1039</v>
      </c>
      <c r="B365" s="44">
        <f>GLOUCESTERSHIRE!D6</f>
        <v>65825</v>
      </c>
      <c r="C365" s="45"/>
      <c r="D365" s="46">
        <f t="shared" si="20"/>
        <v>0.88037823162005646</v>
      </c>
    </row>
    <row r="366" spans="1:4">
      <c r="A366" s="43" t="s">
        <v>1040</v>
      </c>
      <c r="B366" s="44">
        <f>GLOUCESTERSHIRE!D7</f>
        <v>65175</v>
      </c>
      <c r="C366" s="45"/>
      <c r="D366" s="46">
        <f t="shared" si="20"/>
        <v>0.87168478915058378</v>
      </c>
    </row>
    <row r="367" spans="1:4">
      <c r="A367" s="43" t="s">
        <v>621</v>
      </c>
      <c r="B367" s="44">
        <f>GLOUCESTERSHIRE!D8</f>
        <v>86427</v>
      </c>
      <c r="C367" s="45"/>
      <c r="D367" s="46">
        <f t="shared" si="20"/>
        <v>1.1559202343217108</v>
      </c>
    </row>
    <row r="368" spans="1:4">
      <c r="A368" s="43" t="s">
        <v>622</v>
      </c>
      <c r="B368" s="44">
        <f>GLOUCESTERSHIRE!D9</f>
        <v>91294</v>
      </c>
      <c r="C368" s="45"/>
      <c r="D368" s="46">
        <f t="shared" si="20"/>
        <v>1.2210140566277468</v>
      </c>
    </row>
    <row r="369" spans="1:4">
      <c r="A369" s="43" t="s">
        <v>623</v>
      </c>
      <c r="B369" s="44">
        <f>GLOUCESTERSHIRE!D10</f>
        <v>65989</v>
      </c>
      <c r="C369" s="45"/>
      <c r="D369" s="46">
        <f t="shared" si="20"/>
        <v>0.88257165402773874</v>
      </c>
    </row>
    <row r="370" spans="1:4">
      <c r="A370" s="43" t="s">
        <v>624</v>
      </c>
      <c r="B370" s="44">
        <f>SUM(B364:B369)</f>
        <v>460522</v>
      </c>
      <c r="C370" s="45"/>
      <c r="D370" s="46">
        <f t="shared" si="20"/>
        <v>6.1592638660407388</v>
      </c>
    </row>
    <row r="371" spans="1:4">
      <c r="A371" s="43"/>
      <c r="B371" s="44"/>
      <c r="C371" s="45"/>
      <c r="D371" s="46"/>
    </row>
    <row r="372" spans="1:4">
      <c r="A372" s="43" t="s">
        <v>799</v>
      </c>
      <c r="B372" s="44">
        <f>SOMERSET!D5</f>
        <v>79769</v>
      </c>
      <c r="C372" s="45"/>
      <c r="D372" s="46">
        <f t="shared" ref="D372:D377" si="21">B372/B$469</f>
        <v>1.0668726343805588</v>
      </c>
    </row>
    <row r="373" spans="1:4">
      <c r="A373" s="43" t="s">
        <v>800</v>
      </c>
      <c r="B373" s="44">
        <f>SOMERSET!D6</f>
        <v>86874</v>
      </c>
      <c r="C373" s="45"/>
      <c r="D373" s="46">
        <f t="shared" si="21"/>
        <v>1.1618986478353328</v>
      </c>
    </row>
    <row r="374" spans="1:4">
      <c r="A374" s="43" t="s">
        <v>801</v>
      </c>
      <c r="B374" s="44">
        <f>SOMERSET!D7</f>
        <v>117938</v>
      </c>
      <c r="C374" s="45"/>
      <c r="D374" s="46">
        <f t="shared" si="21"/>
        <v>1.5773649507148684</v>
      </c>
    </row>
    <row r="375" spans="1:4">
      <c r="A375" s="43" t="s">
        <v>802</v>
      </c>
      <c r="B375" s="44">
        <f>SOMERSET!D8</f>
        <v>78187</v>
      </c>
      <c r="C375" s="45"/>
      <c r="D375" s="46">
        <f t="shared" si="21"/>
        <v>1.0457141328625499</v>
      </c>
    </row>
    <row r="376" spans="1:4">
      <c r="A376" s="43" t="s">
        <v>803</v>
      </c>
      <c r="B376" s="44">
        <f>SOMERSET!D9</f>
        <v>26264</v>
      </c>
      <c r="C376" s="45"/>
      <c r="D376" s="46">
        <f t="shared" si="21"/>
        <v>0.35126857387419919</v>
      </c>
    </row>
    <row r="377" spans="1:4">
      <c r="A377" s="43" t="s">
        <v>804</v>
      </c>
      <c r="B377" s="44">
        <f>SUM(B372:B376)</f>
        <v>389032</v>
      </c>
      <c r="C377" s="45"/>
      <c r="D377" s="46">
        <f t="shared" si="21"/>
        <v>5.203118939667509</v>
      </c>
    </row>
    <row r="378" spans="1:4">
      <c r="A378" s="43"/>
      <c r="B378" s="44"/>
      <c r="C378" s="45"/>
      <c r="D378" s="46"/>
    </row>
    <row r="379" spans="1:4">
      <c r="A379" s="43" t="s">
        <v>810</v>
      </c>
      <c r="B379" s="44">
        <f>WILTSHIRE!D3</f>
        <v>148586</v>
      </c>
      <c r="C379" s="45"/>
      <c r="D379" s="46">
        <f>B379/B$469</f>
        <v>1.9872674504139416</v>
      </c>
    </row>
    <row r="380" spans="1:4">
      <c r="A380" s="43" t="s">
        <v>748</v>
      </c>
      <c r="B380" s="47">
        <f>WILTSHIRE!D4</f>
        <v>346724</v>
      </c>
      <c r="C380" s="42"/>
      <c r="D380" s="46">
        <f>B380/B$469</f>
        <v>4.6372694565929731</v>
      </c>
    </row>
    <row r="381" spans="1:4">
      <c r="A381" s="48" t="s">
        <v>2021</v>
      </c>
      <c r="B381" s="47">
        <f>B379+B380</f>
        <v>495310</v>
      </c>
      <c r="C381" s="42"/>
      <c r="D381" s="46">
        <f>B381/B$469</f>
        <v>6.6245369070069149</v>
      </c>
    </row>
    <row r="382" spans="1:4">
      <c r="A382" s="43"/>
      <c r="B382" s="44"/>
      <c r="C382" s="45"/>
      <c r="D382" s="46"/>
    </row>
    <row r="383" spans="1:4">
      <c r="A383" s="52" t="s">
        <v>811</v>
      </c>
      <c r="B383" s="53">
        <f>B334+B338+B351+B362+B370+B377+B381</f>
        <v>3930770</v>
      </c>
      <c r="C383" s="45"/>
      <c r="D383" s="51">
        <f>B383/B$469</f>
        <v>52.572189008813815</v>
      </c>
    </row>
    <row r="384" spans="1:4">
      <c r="A384" s="43"/>
      <c r="B384" s="44"/>
      <c r="C384" s="45"/>
      <c r="D384" s="46"/>
    </row>
    <row r="385" spans="1:4">
      <c r="A385" s="43" t="s">
        <v>619</v>
      </c>
      <c r="B385" s="44" t="s">
        <v>620</v>
      </c>
      <c r="C385" s="45"/>
    </row>
    <row r="386" spans="1:4">
      <c r="A386" s="43"/>
      <c r="B386" s="44"/>
      <c r="C386" s="45"/>
    </row>
    <row r="387" spans="1:4">
      <c r="A387" s="43" t="s">
        <v>2353</v>
      </c>
      <c r="B387" s="44">
        <f>HEREFORDSHIRE!D3</f>
        <v>133026</v>
      </c>
      <c r="C387" s="45"/>
      <c r="D387" s="46">
        <f>B387/B$469</f>
        <v>1.7791598122216428</v>
      </c>
    </row>
    <row r="388" spans="1:4">
      <c r="A388" s="43"/>
      <c r="B388" s="44"/>
      <c r="C388" s="45"/>
      <c r="D388" s="46"/>
    </row>
    <row r="389" spans="1:4">
      <c r="A389" s="43" t="s">
        <v>2354</v>
      </c>
      <c r="B389" s="44">
        <f>'SHROPSHIRE &amp; TELFORD &amp; WREKIN '!D3</f>
        <v>229810</v>
      </c>
      <c r="C389" s="45"/>
      <c r="D389" s="46">
        <f>B389/B$469</f>
        <v>3.0736000213992432</v>
      </c>
    </row>
    <row r="390" spans="1:4">
      <c r="A390" s="43" t="s">
        <v>2355</v>
      </c>
      <c r="B390" s="44">
        <f>'SHROPSHIRE &amp; TELFORD &amp; WREKIN '!D4</f>
        <v>119097</v>
      </c>
      <c r="C390" s="45"/>
      <c r="D390" s="46">
        <f>B390/B$469</f>
        <v>1.5928660273642821</v>
      </c>
    </row>
    <row r="391" spans="1:4">
      <c r="A391" s="48" t="s">
        <v>2356</v>
      </c>
      <c r="B391" s="44">
        <f>B389+B390</f>
        <v>348907</v>
      </c>
      <c r="C391" s="45"/>
      <c r="D391" s="46">
        <f>B391/B$469</f>
        <v>4.6664660487635246</v>
      </c>
    </row>
    <row r="392" spans="1:4">
      <c r="A392" s="43"/>
      <c r="B392" s="44"/>
      <c r="C392" s="45"/>
      <c r="D392" s="46"/>
    </row>
    <row r="393" spans="1:4">
      <c r="A393" s="43" t="s">
        <v>2357</v>
      </c>
      <c r="B393" s="44">
        <f>STAFFORDSHIRE!D7</f>
        <v>73470</v>
      </c>
      <c r="C393" s="45"/>
      <c r="D393" s="46">
        <f t="shared" ref="D393:D403" si="22">B393/B$469</f>
        <v>0.98262648958793086</v>
      </c>
    </row>
    <row r="394" spans="1:4">
      <c r="A394" s="43" t="s">
        <v>2358</v>
      </c>
      <c r="B394" s="44">
        <f>STAFFORDSHIRE!D8</f>
        <v>81297</v>
      </c>
      <c r="C394" s="45"/>
      <c r="D394" s="46">
        <f t="shared" si="22"/>
        <v>1.0873089114472576</v>
      </c>
    </row>
    <row r="395" spans="1:4">
      <c r="A395" s="43" t="s">
        <v>2359</v>
      </c>
      <c r="B395" s="44">
        <f>STAFFORDSHIRE!D9</f>
        <v>77591</v>
      </c>
      <c r="C395" s="45"/>
      <c r="D395" s="46">
        <f t="shared" si="22"/>
        <v>1.0377429148443873</v>
      </c>
    </row>
    <row r="396" spans="1:4">
      <c r="A396" s="43" t="s">
        <v>2360</v>
      </c>
      <c r="B396" s="44">
        <f>STAFFORDSHIRE!D10</f>
        <v>89247</v>
      </c>
      <c r="C396" s="45"/>
      <c r="D396" s="46">
        <f t="shared" si="22"/>
        <v>1.1936364001123461</v>
      </c>
    </row>
    <row r="397" spans="1:4">
      <c r="A397" s="43" t="s">
        <v>2361</v>
      </c>
      <c r="B397" s="44">
        <f>STAFFORDSHIRE!D11</f>
        <v>83407</v>
      </c>
      <c r="C397" s="45"/>
      <c r="D397" s="46">
        <f t="shared" si="22"/>
        <v>1.1155291631558533</v>
      </c>
    </row>
    <row r="398" spans="1:4">
      <c r="A398" s="43" t="s">
        <v>2362</v>
      </c>
      <c r="B398" s="44">
        <f>STAFFORDSHIRE!D12</f>
        <v>95558</v>
      </c>
      <c r="C398" s="45"/>
      <c r="D398" s="46">
        <f t="shared" si="22"/>
        <v>1.2780430392274873</v>
      </c>
    </row>
    <row r="399" spans="1:4">
      <c r="A399" s="43" t="s">
        <v>2363</v>
      </c>
      <c r="B399" s="44">
        <f>STAFFORDSHIRE!D13</f>
        <v>78211</v>
      </c>
      <c r="C399" s="45"/>
      <c r="D399" s="46">
        <f t="shared" si="22"/>
        <v>1.0460351215075767</v>
      </c>
    </row>
    <row r="400" spans="1:4">
      <c r="A400" s="43" t="s">
        <v>2364</v>
      </c>
      <c r="B400" s="44">
        <f>STAFFORDSHIRE!D14</f>
        <v>56689</v>
      </c>
      <c r="C400" s="45"/>
      <c r="D400" s="46">
        <f t="shared" si="22"/>
        <v>0.75818855407989938</v>
      </c>
    </row>
    <row r="401" spans="1:4">
      <c r="A401" s="43" t="s">
        <v>2365</v>
      </c>
      <c r="B401" s="47">
        <f>SUM(B393:B400)</f>
        <v>635470</v>
      </c>
      <c r="C401" s="42"/>
      <c r="D401" s="46">
        <f t="shared" si="22"/>
        <v>8.4991105939627385</v>
      </c>
    </row>
    <row r="402" spans="1:4">
      <c r="A402" s="43" t="s">
        <v>2366</v>
      </c>
      <c r="B402" s="44">
        <f>STAFFORDSHIRE!D4</f>
        <v>179857</v>
      </c>
      <c r="C402" s="45"/>
      <c r="D402" s="46">
        <f t="shared" si="22"/>
        <v>2.4055022803568322</v>
      </c>
    </row>
    <row r="403" spans="1:4">
      <c r="A403" s="48" t="s">
        <v>2367</v>
      </c>
      <c r="B403" s="44">
        <f>B401+B402</f>
        <v>815327</v>
      </c>
      <c r="C403" s="45"/>
      <c r="D403" s="46">
        <f t="shared" si="22"/>
        <v>10.904612874319572</v>
      </c>
    </row>
    <row r="404" spans="1:4">
      <c r="A404" s="43"/>
      <c r="B404" s="44"/>
      <c r="C404" s="45"/>
      <c r="D404" s="46"/>
    </row>
    <row r="405" spans="1:4">
      <c r="A405" s="43" t="s">
        <v>2368</v>
      </c>
      <c r="B405" s="44">
        <f>WARWICKSHIRE!D5</f>
        <v>47339</v>
      </c>
      <c r="C405" s="45"/>
      <c r="D405" s="46">
        <f t="shared" ref="D405:D410" si="23">B405/B$469</f>
        <v>0.63313672778825447</v>
      </c>
    </row>
    <row r="406" spans="1:4">
      <c r="A406" s="43" t="s">
        <v>2369</v>
      </c>
      <c r="B406" s="44">
        <f>WARWICKSHIRE!D6</f>
        <v>90571</v>
      </c>
      <c r="C406" s="45"/>
      <c r="D406" s="46">
        <f t="shared" si="23"/>
        <v>1.211344273696318</v>
      </c>
    </row>
    <row r="407" spans="1:4">
      <c r="A407" s="43" t="s">
        <v>2370</v>
      </c>
      <c r="B407" s="44">
        <f>WARWICKSHIRE!D7</f>
        <v>71187</v>
      </c>
      <c r="C407" s="45"/>
      <c r="D407" s="46">
        <f t="shared" si="23"/>
        <v>0.95209244472976773</v>
      </c>
    </row>
    <row r="408" spans="1:4">
      <c r="A408" s="43" t="s">
        <v>2371</v>
      </c>
      <c r="B408" s="44">
        <f>WARWICKSHIRE!D8</f>
        <v>94292</v>
      </c>
      <c r="C408" s="45"/>
      <c r="D408" s="46">
        <f t="shared" si="23"/>
        <v>1.2611108882023299</v>
      </c>
    </row>
    <row r="409" spans="1:4">
      <c r="A409" s="43" t="s">
        <v>2372</v>
      </c>
      <c r="B409" s="44">
        <f>WARWICKSHIRE!D9</f>
        <v>97927</v>
      </c>
      <c r="C409" s="45"/>
      <c r="D409" s="46">
        <f t="shared" si="23"/>
        <v>1.3097272933969961</v>
      </c>
    </row>
    <row r="410" spans="1:4">
      <c r="A410" s="43" t="s">
        <v>2373</v>
      </c>
      <c r="B410" s="44">
        <f>SUM(B405:B409)</f>
        <v>401316</v>
      </c>
      <c r="C410" s="45"/>
      <c r="D410" s="46">
        <f t="shared" si="23"/>
        <v>5.3674116278136657</v>
      </c>
    </row>
    <row r="411" spans="1:4">
      <c r="A411" s="43"/>
      <c r="B411" s="44"/>
      <c r="C411" s="45"/>
      <c r="D411" s="46"/>
    </row>
    <row r="412" spans="1:4">
      <c r="A412" s="43" t="s">
        <v>2374</v>
      </c>
      <c r="B412" s="3">
        <f>'WEST MIDLANDS'!D5</f>
        <v>686804</v>
      </c>
      <c r="C412" s="45"/>
      <c r="D412" s="46">
        <f t="shared" ref="D412:D419" si="24">B412/B$469</f>
        <v>9.1856785566210597</v>
      </c>
    </row>
    <row r="413" spans="1:4">
      <c r="A413" s="43" t="s">
        <v>2375</v>
      </c>
      <c r="B413" s="3">
        <f>'WEST MIDLANDS'!D6</f>
        <v>210031</v>
      </c>
      <c r="C413" s="45"/>
      <c r="D413" s="46">
        <f t="shared" si="24"/>
        <v>2.8090652543166286</v>
      </c>
    </row>
    <row r="414" spans="1:4">
      <c r="A414" s="43" t="s">
        <v>2376</v>
      </c>
      <c r="B414" s="3">
        <f>'WEST MIDLANDS'!D7</f>
        <v>239405</v>
      </c>
      <c r="C414" s="45"/>
      <c r="D414" s="46">
        <f t="shared" si="24"/>
        <v>3.2019286067755353</v>
      </c>
    </row>
    <row r="415" spans="1:4">
      <c r="A415" s="43" t="s">
        <v>2377</v>
      </c>
      <c r="B415" s="3">
        <f>'WEST MIDLANDS'!D8</f>
        <v>215484</v>
      </c>
      <c r="C415" s="45"/>
      <c r="D415" s="46">
        <f t="shared" si="24"/>
        <v>2.8819965493720661</v>
      </c>
    </row>
    <row r="416" spans="1:4">
      <c r="A416" s="43" t="s">
        <v>2378</v>
      </c>
      <c r="B416" s="3">
        <f>'WEST MIDLANDS'!D9</f>
        <v>153873</v>
      </c>
      <c r="C416" s="45"/>
      <c r="D416" s="46">
        <f t="shared" si="24"/>
        <v>2.0579785740079446</v>
      </c>
    </row>
    <row r="417" spans="1:4">
      <c r="A417" s="43" t="s">
        <v>2379</v>
      </c>
      <c r="B417" s="3">
        <f>'WEST MIDLANDS'!D10</f>
        <v>186960</v>
      </c>
      <c r="C417" s="45"/>
      <c r="D417" s="46">
        <f t="shared" si="24"/>
        <v>2.5005015447578542</v>
      </c>
    </row>
    <row r="418" spans="1:4">
      <c r="A418" s="43" t="s">
        <v>2380</v>
      </c>
      <c r="B418" s="3">
        <f>'WEST MIDLANDS'!D11</f>
        <v>170212</v>
      </c>
      <c r="C418" s="45"/>
      <c r="D418" s="46">
        <f t="shared" si="24"/>
        <v>2.2765049686367345</v>
      </c>
    </row>
    <row r="419" spans="1:4">
      <c r="A419" s="43" t="s">
        <v>2381</v>
      </c>
      <c r="B419" s="44">
        <f>SUM(B412:B418)</f>
        <v>1862769</v>
      </c>
      <c r="C419" s="45"/>
      <c r="D419" s="46">
        <f t="shared" si="24"/>
        <v>24.913654054487822</v>
      </c>
    </row>
    <row r="420" spans="1:4">
      <c r="A420" s="43"/>
      <c r="B420" s="44"/>
      <c r="C420" s="45"/>
      <c r="D420" s="46"/>
    </row>
    <row r="421" spans="1:4">
      <c r="A421" s="43" t="s">
        <v>2382</v>
      </c>
      <c r="B421" s="44">
        <f>WORCESTERSHIRE!D5</f>
        <v>72042</v>
      </c>
      <c r="C421" s="45"/>
      <c r="D421" s="46">
        <f t="shared" ref="D421:D427" si="25">B421/B$469</f>
        <v>0.96352766520884325</v>
      </c>
    </row>
    <row r="422" spans="1:4">
      <c r="A422" s="43" t="s">
        <v>2383</v>
      </c>
      <c r="B422" s="44">
        <f>WORCESTERSHIRE!D6</f>
        <v>58606</v>
      </c>
      <c r="C422" s="45"/>
      <c r="D422" s="46">
        <f t="shared" si="25"/>
        <v>0.78382752210140572</v>
      </c>
    </row>
    <row r="423" spans="1:4">
      <c r="A423" s="43" t="s">
        <v>2384</v>
      </c>
      <c r="B423" s="44">
        <f>WORCESTERSHIRE!D7</f>
        <v>59495</v>
      </c>
      <c r="C423" s="45"/>
      <c r="D423" s="46">
        <f t="shared" si="25"/>
        <v>0.79571747649426905</v>
      </c>
    </row>
    <row r="424" spans="1:4">
      <c r="A424" s="43" t="s">
        <v>2385</v>
      </c>
      <c r="B424" s="44">
        <f>WORCESTERSHIRE!D8</f>
        <v>70542</v>
      </c>
      <c r="C424" s="45"/>
      <c r="D424" s="46">
        <f t="shared" si="25"/>
        <v>0.94346587489467559</v>
      </c>
    </row>
    <row r="425" spans="1:4">
      <c r="A425" s="43" t="s">
        <v>2386</v>
      </c>
      <c r="B425" s="44">
        <f>WORCESTERSHIRE!D9</f>
        <v>92064</v>
      </c>
      <c r="C425" s="45"/>
      <c r="D425" s="46">
        <f t="shared" si="25"/>
        <v>1.2313124423223529</v>
      </c>
    </row>
    <row r="426" spans="1:4">
      <c r="A426" s="43" t="s">
        <v>2387</v>
      </c>
      <c r="B426" s="44">
        <f>WORCESTERSHIRE!D10</f>
        <v>75226</v>
      </c>
      <c r="C426" s="45"/>
      <c r="D426" s="46">
        <f t="shared" si="25"/>
        <v>1.0061121587823831</v>
      </c>
    </row>
    <row r="427" spans="1:4">
      <c r="A427" s="43" t="s">
        <v>2388</v>
      </c>
      <c r="B427" s="44">
        <f>SUM(B421:B426)</f>
        <v>427975</v>
      </c>
      <c r="C427" s="45"/>
      <c r="D427" s="46">
        <f t="shared" si="25"/>
        <v>5.7239631398039297</v>
      </c>
    </row>
    <row r="428" spans="1:4">
      <c r="A428" s="43"/>
      <c r="B428" s="44"/>
      <c r="C428" s="45"/>
      <c r="D428" s="46"/>
    </row>
    <row r="429" spans="1:4">
      <c r="A429" s="52" t="s">
        <v>2389</v>
      </c>
      <c r="B429" s="53">
        <f>B387+B391+B403+B410+B419+B427</f>
        <v>3989320</v>
      </c>
      <c r="C429" s="45"/>
      <c r="D429" s="51">
        <f>B429/B$469</f>
        <v>53.355267557410158</v>
      </c>
    </row>
    <row r="431" spans="1:4">
      <c r="A431" s="43" t="s">
        <v>619</v>
      </c>
    </row>
    <row r="432" spans="1:4">
      <c r="A432" s="43"/>
    </row>
    <row r="433" spans="1:4">
      <c r="A433" s="43" t="s">
        <v>10571</v>
      </c>
      <c r="B433" s="44">
        <f>'"HUMBERSIDE"'!D3</f>
        <v>254116</v>
      </c>
      <c r="C433" s="45"/>
      <c r="D433" s="46">
        <f t="shared" ref="D433:D463" si="26">B433/B$469</f>
        <v>3.3986812716500152</v>
      </c>
    </row>
    <row r="434" spans="1:4">
      <c r="A434" s="43" t="s">
        <v>10572</v>
      </c>
      <c r="B434" s="44">
        <f>'"HUMBERSIDE"'!D4</f>
        <v>175422</v>
      </c>
      <c r="C434" s="45"/>
      <c r="D434" s="46">
        <f t="shared" si="26"/>
        <v>2.3461862536612768</v>
      </c>
    </row>
    <row r="435" spans="1:4">
      <c r="A435" s="43" t="s">
        <v>10573</v>
      </c>
      <c r="B435" s="44">
        <f>'"HUMBERSIDE"'!D5</f>
        <v>112541</v>
      </c>
      <c r="C435" s="45"/>
      <c r="D435" s="46">
        <f t="shared" si="26"/>
        <v>1.5051826291644934</v>
      </c>
    </row>
    <row r="436" spans="1:4">
      <c r="A436" s="43" t="s">
        <v>10574</v>
      </c>
      <c r="B436" s="44">
        <f>'"HUMBERSIDE"'!D6</f>
        <v>119916</v>
      </c>
      <c r="C436" s="45"/>
      <c r="D436" s="46">
        <f t="shared" si="26"/>
        <v>1.6038197648758175</v>
      </c>
    </row>
    <row r="437" spans="1:4">
      <c r="A437" s="48" t="s">
        <v>10575</v>
      </c>
      <c r="B437" s="44">
        <f>SUM(B433:B436)</f>
        <v>661995</v>
      </c>
      <c r="C437" s="45"/>
      <c r="D437" s="46">
        <f t="shared" si="26"/>
        <v>8.8538699193516024</v>
      </c>
    </row>
    <row r="438" spans="1:4">
      <c r="A438" s="43"/>
      <c r="B438" s="44"/>
      <c r="C438" s="45"/>
      <c r="D438" s="46"/>
    </row>
    <row r="439" spans="1:4">
      <c r="A439" s="43" t="s">
        <v>10576</v>
      </c>
      <c r="B439" s="44">
        <f>'NORTH YORKSHIRE'!D7</f>
        <v>42127</v>
      </c>
      <c r="C439" s="45"/>
      <c r="D439" s="46">
        <f t="shared" si="26"/>
        <v>0.56342869370995996</v>
      </c>
    </row>
    <row r="440" spans="1:4">
      <c r="A440" s="43" t="s">
        <v>10577</v>
      </c>
      <c r="B440" s="44">
        <f>'NORTH YORKSHIRE'!D8</f>
        <v>67293</v>
      </c>
      <c r="C440" s="45"/>
      <c r="D440" s="46">
        <f t="shared" si="26"/>
        <v>0.90001203707418853</v>
      </c>
    </row>
    <row r="441" spans="1:4">
      <c r="A441" s="43" t="s">
        <v>10578</v>
      </c>
      <c r="B441" s="44">
        <f>'NORTH YORKSHIRE'!D9</f>
        <v>115996</v>
      </c>
      <c r="C441" s="45"/>
      <c r="D441" s="46">
        <f t="shared" si="26"/>
        <v>1.5513916195214594</v>
      </c>
    </row>
    <row r="442" spans="1:4">
      <c r="A442" s="43" t="s">
        <v>10579</v>
      </c>
      <c r="B442" s="44">
        <f>'NORTH YORKSHIRE'!D10</f>
        <v>34366</v>
      </c>
      <c r="C442" s="45"/>
      <c r="D442" s="46">
        <f t="shared" si="26"/>
        <v>0.45962899062445667</v>
      </c>
    </row>
    <row r="443" spans="1:4">
      <c r="A443" s="43" t="s">
        <v>10580</v>
      </c>
      <c r="B443" s="44">
        <f>'NORTH YORKSHIRE'!D11</f>
        <v>39668</v>
      </c>
      <c r="C443" s="45"/>
      <c r="D443" s="46">
        <f t="shared" si="26"/>
        <v>0.53054073212160124</v>
      </c>
    </row>
    <row r="444" spans="1:4">
      <c r="A444" s="43" t="s">
        <v>10581</v>
      </c>
      <c r="B444" s="44">
        <f>'NORTH YORKSHIRE'!D12</f>
        <v>79890</v>
      </c>
      <c r="C444" s="45"/>
      <c r="D444" s="46">
        <f t="shared" si="26"/>
        <v>1.0684909521325683</v>
      </c>
    </row>
    <row r="445" spans="1:4">
      <c r="A445" s="43" t="s">
        <v>10582</v>
      </c>
      <c r="B445" s="44">
        <f>'NORTH YORKSHIRE'!D13</f>
        <v>63151</v>
      </c>
      <c r="C445" s="45"/>
      <c r="D445" s="46">
        <f t="shared" si="26"/>
        <v>0.84461474675333359</v>
      </c>
    </row>
    <row r="446" spans="1:4">
      <c r="A446" s="43" t="s">
        <v>10583</v>
      </c>
      <c r="B446" s="44">
        <f>SUM(B439:B445)</f>
        <v>442491</v>
      </c>
      <c r="C446" s="45"/>
      <c r="D446" s="46">
        <f t="shared" si="26"/>
        <v>5.9181077719375681</v>
      </c>
    </row>
    <row r="447" spans="1:4">
      <c r="A447" s="43" t="s">
        <v>10584</v>
      </c>
      <c r="B447" s="44">
        <f>'NORTH YORKSHIRE'!D4</f>
        <v>147364</v>
      </c>
      <c r="C447" s="45"/>
      <c r="D447" s="46">
        <f t="shared" si="26"/>
        <v>1.9709237785713329</v>
      </c>
    </row>
    <row r="448" spans="1:4">
      <c r="A448" s="48" t="s">
        <v>10585</v>
      </c>
      <c r="B448" s="44">
        <f>B446+B447</f>
        <v>589855</v>
      </c>
      <c r="C448" s="45"/>
      <c r="D448" s="46">
        <f t="shared" si="26"/>
        <v>7.8890315505089008</v>
      </c>
    </row>
    <row r="449" spans="1:4">
      <c r="A449" s="43"/>
      <c r="B449" s="44"/>
      <c r="C449" s="45"/>
      <c r="D449" s="46"/>
    </row>
    <row r="450" spans="1:4">
      <c r="A450" s="43" t="s">
        <v>10586</v>
      </c>
      <c r="B450" s="3">
        <f>'SOUTH YORKSHIRE'!D5</f>
        <v>167715</v>
      </c>
      <c r="C450" s="45"/>
      <c r="D450" s="46">
        <f t="shared" si="26"/>
        <v>2.2431087750270833</v>
      </c>
    </row>
    <row r="451" spans="1:4">
      <c r="A451" s="43" t="s">
        <v>10587</v>
      </c>
      <c r="B451" s="3">
        <f>'SOUTH YORKSHIRE'!D6</f>
        <v>211267</v>
      </c>
      <c r="C451" s="45"/>
      <c r="D451" s="46">
        <f t="shared" si="26"/>
        <v>2.8255961695355025</v>
      </c>
    </row>
    <row r="452" spans="1:4">
      <c r="A452" s="43" t="s">
        <v>10588</v>
      </c>
      <c r="B452" s="3">
        <f>'SOUTH YORKSHIRE'!D7</f>
        <v>192118</v>
      </c>
      <c r="C452" s="45"/>
      <c r="D452" s="46">
        <f t="shared" si="26"/>
        <v>2.5694873543848384</v>
      </c>
    </row>
    <row r="453" spans="1:4">
      <c r="A453" s="43" t="s">
        <v>10589</v>
      </c>
      <c r="B453" s="3">
        <f>'SOUTH YORKSHIRE'!D8</f>
        <v>381430</v>
      </c>
      <c r="C453" s="45"/>
      <c r="D453" s="46">
        <f t="shared" si="26"/>
        <v>5.101445786355308</v>
      </c>
    </row>
    <row r="454" spans="1:4">
      <c r="A454" s="43" t="s">
        <v>10590</v>
      </c>
      <c r="B454" s="44">
        <f>SUM(B450:B453)</f>
        <v>952530</v>
      </c>
      <c r="C454" s="45"/>
      <c r="D454" s="46">
        <f t="shared" si="26"/>
        <v>12.739638085302733</v>
      </c>
    </row>
    <row r="455" spans="1:4">
      <c r="A455" s="42"/>
      <c r="C455" s="42"/>
      <c r="D455" s="46"/>
    </row>
    <row r="456" spans="1:4">
      <c r="A456" s="43" t="s">
        <v>10591</v>
      </c>
      <c r="B456" s="3">
        <f>'WEST YORKSHIRE'!D5</f>
        <v>326783</v>
      </c>
      <c r="C456" s="45"/>
      <c r="D456" s="46">
        <f t="shared" si="26"/>
        <v>4.3705680161564286</v>
      </c>
    </row>
    <row r="457" spans="1:4">
      <c r="A457" s="43" t="s">
        <v>10592</v>
      </c>
      <c r="B457" s="3">
        <f>'WEST YORKSHIRE'!D6</f>
        <v>142864</v>
      </c>
      <c r="C457" s="45"/>
      <c r="D457" s="46">
        <f t="shared" si="26"/>
        <v>1.9107384076288301</v>
      </c>
    </row>
    <row r="458" spans="1:4">
      <c r="A458" s="43" t="s">
        <v>10593</v>
      </c>
      <c r="B458" s="3">
        <f>'WEST YORKSHIRE'!D7</f>
        <v>295405</v>
      </c>
      <c r="C458" s="45"/>
      <c r="D458" s="46">
        <f t="shared" si="26"/>
        <v>3.9509021118377938</v>
      </c>
    </row>
    <row r="459" spans="1:4">
      <c r="A459" s="43" t="s">
        <v>10594</v>
      </c>
      <c r="B459" s="3">
        <f>'WEST YORKSHIRE'!D8</f>
        <v>515304</v>
      </c>
      <c r="C459" s="45"/>
      <c r="D459" s="46">
        <f t="shared" si="26"/>
        <v>6.8919471973678927</v>
      </c>
    </row>
    <row r="460" spans="1:4">
      <c r="A460" s="43" t="s">
        <v>10595</v>
      </c>
      <c r="B460" s="3">
        <f>'WEST YORKSHIRE'!D9</f>
        <v>237299</v>
      </c>
      <c r="C460" s="45"/>
      <c r="D460" s="46">
        <f t="shared" si="26"/>
        <v>3.1737618531744438</v>
      </c>
    </row>
    <row r="461" spans="1:4">
      <c r="A461" s="43" t="s">
        <v>10596</v>
      </c>
      <c r="B461" s="44">
        <f>SUM(B456:B460)</f>
        <v>1517655</v>
      </c>
      <c r="C461" s="45"/>
      <c r="D461" s="46">
        <f t="shared" si="26"/>
        <v>20.29791758616539</v>
      </c>
    </row>
    <row r="462" spans="1:4">
      <c r="A462" s="43"/>
      <c r="B462" s="44"/>
      <c r="C462" s="45"/>
      <c r="D462" s="46"/>
    </row>
    <row r="463" spans="1:4">
      <c r="A463" s="52" t="s">
        <v>10597</v>
      </c>
      <c r="B463" s="53">
        <f>B437+B448+B454+B461</f>
        <v>3722035</v>
      </c>
      <c r="C463" s="45"/>
      <c r="D463" s="51">
        <f t="shared" si="26"/>
        <v>49.780457141328625</v>
      </c>
    </row>
    <row r="464" spans="1:4">
      <c r="A464" s="43"/>
      <c r="B464" s="44"/>
      <c r="C464" s="45"/>
    </row>
    <row r="465" spans="1:3">
      <c r="A465" s="43" t="s">
        <v>619</v>
      </c>
      <c r="B465" s="44" t="s">
        <v>620</v>
      </c>
      <c r="C465" s="45"/>
    </row>
    <row r="466" spans="1:3">
      <c r="C466" s="49"/>
    </row>
    <row r="467" spans="1:3">
      <c r="A467" s="330" t="s">
        <v>6762</v>
      </c>
      <c r="B467" s="331">
        <f>B56+B121+B159+B180+B234+B326+B383+B429+B463</f>
        <v>37399942</v>
      </c>
    </row>
    <row r="469" spans="1:3">
      <c r="A469" s="52" t="s">
        <v>1835</v>
      </c>
      <c r="B469" s="53">
        <v>74769</v>
      </c>
    </row>
  </sheetData>
  <phoneticPr fontId="5" type="noConversion"/>
  <printOptions gridLinesSet="0"/>
  <pageMargins left="0.62992125984251968" right="0" top="0.78740157480314965" bottom="0.39370078740157483" header="0.51181102362204722" footer="0.51181102362204722"/>
  <pageSetup paperSize="9" scale="85" orientation="portrait" verticalDpi="4" r:id="rId1"/>
  <headerFooter alignWithMargins="0">
    <oddFooter>&amp;C&amp;8&amp;P of &amp;N</oddFooter>
  </headerFooter>
  <ignoredErrors>
    <ignoredError sqref="C330 C335:C370 C331 C371:C380 C382:C384 C385:C386 B353:B383 B330:B351 D330:D383 B387:D429 B4:C56 B3:C3 D3:D56 B60:D121 B125:D180 B433:D463 B184:D234 B238:D244 B263:D277 B262:C262 B254:D261 B253:C253 B246:D252 B245:C245 B279:D279 B278:C278 B281:D295 B280:C280 B297:D302 B296:C296 B304:D315 B303:C303 B317:D324 B316:C316 B326:D326 B325:C325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2"/>
  <sheetViews>
    <sheetView showGridLines="0" zoomScaleNormal="100" workbookViewId="0"/>
  </sheetViews>
  <sheetFormatPr defaultColWidth="12.69921875" defaultRowHeight="14.5"/>
  <cols>
    <col min="1" max="1" width="5" style="440" customWidth="1"/>
    <col min="2" max="2" width="40.69921875" style="440" customWidth="1"/>
    <col min="3" max="3" width="11.59765625" style="440" customWidth="1"/>
    <col min="4" max="4" width="10.09765625" style="440" customWidth="1"/>
    <col min="5" max="5" width="2.3984375" style="440" customWidth="1"/>
    <col min="6" max="6" width="33" style="440" customWidth="1"/>
    <col min="7" max="16384" width="12.69921875" style="440"/>
  </cols>
  <sheetData>
    <row r="1" spans="1:6">
      <c r="A1" s="439" t="s">
        <v>9176</v>
      </c>
      <c r="D1" s="441">
        <v>2016</v>
      </c>
    </row>
    <row r="3" spans="1:6">
      <c r="A3" s="439" t="s">
        <v>9357</v>
      </c>
      <c r="D3" s="442">
        <f t="shared" ref="D3" si="0">SUM(D19:D40)</f>
        <v>226093</v>
      </c>
    </row>
    <row r="5" spans="1:6">
      <c r="A5" s="439" t="s">
        <v>9358</v>
      </c>
      <c r="D5" s="442">
        <f>D25+D26+D33+D36+D39+D40</f>
        <v>64221</v>
      </c>
      <c r="F5" s="439" t="s">
        <v>9359</v>
      </c>
    </row>
    <row r="6" spans="1:6" ht="15" thickBot="1">
      <c r="A6" s="439"/>
      <c r="D6" s="443">
        <f>CROYDON!D6</f>
        <v>10317</v>
      </c>
      <c r="F6" s="439" t="s">
        <v>9360</v>
      </c>
    </row>
    <row r="7" spans="1:6" ht="15" thickBot="1">
      <c r="A7" s="439"/>
      <c r="D7" s="444">
        <f>D5+D6</f>
        <v>74538</v>
      </c>
      <c r="F7" s="439"/>
    </row>
    <row r="8" spans="1:6">
      <c r="A8" s="439"/>
      <c r="D8" s="442"/>
      <c r="F8" s="439"/>
    </row>
    <row r="9" spans="1:6">
      <c r="A9" s="439" t="s">
        <v>9361</v>
      </c>
      <c r="D9" s="442">
        <f>D19+D21+D22+D24+D32+D34+D38</f>
        <v>75812</v>
      </c>
      <c r="F9" s="439" t="s">
        <v>9359</v>
      </c>
    </row>
    <row r="10" spans="1:6">
      <c r="D10" s="445"/>
    </row>
    <row r="11" spans="1:6">
      <c r="A11" s="446" t="s">
        <v>9362</v>
      </c>
      <c r="D11" s="445">
        <f>D29</f>
        <v>7783</v>
      </c>
      <c r="F11" s="439" t="s">
        <v>9359</v>
      </c>
    </row>
    <row r="12" spans="1:6" ht="15" thickBot="1">
      <c r="D12" s="445">
        <f>CROYDON!D12</f>
        <v>70010</v>
      </c>
      <c r="F12" s="439" t="s">
        <v>9360</v>
      </c>
    </row>
    <row r="13" spans="1:6" ht="15" thickBot="1">
      <c r="D13" s="444">
        <f>D11+D12</f>
        <v>77793</v>
      </c>
    </row>
    <row r="14" spans="1:6">
      <c r="D14" s="445"/>
    </row>
    <row r="15" spans="1:6">
      <c r="A15" s="439" t="s">
        <v>9363</v>
      </c>
      <c r="D15" s="442">
        <f>D20+D23+D27+D28+D30+D31+D35+D37</f>
        <v>78277</v>
      </c>
      <c r="F15" s="439" t="s">
        <v>9359</v>
      </c>
    </row>
    <row r="16" spans="1:6">
      <c r="D16" s="445"/>
    </row>
    <row r="17" spans="1:10">
      <c r="A17" s="439" t="s">
        <v>1041</v>
      </c>
      <c r="D17" s="442">
        <f>D5+D9+D11+D15</f>
        <v>226093</v>
      </c>
    </row>
    <row r="18" spans="1:10">
      <c r="D18" s="445"/>
    </row>
    <row r="19" spans="1:10">
      <c r="A19" s="439" t="s">
        <v>812</v>
      </c>
      <c r="B19" s="439" t="s">
        <v>9364</v>
      </c>
      <c r="C19" s="292" t="s">
        <v>9365</v>
      </c>
      <c r="D19" s="293">
        <v>11129</v>
      </c>
      <c r="F19" s="439" t="s">
        <v>9361</v>
      </c>
      <c r="H19" s="292"/>
      <c r="J19" s="292"/>
    </row>
    <row r="20" spans="1:10">
      <c r="A20" s="439" t="s">
        <v>813</v>
      </c>
      <c r="B20" s="439" t="s">
        <v>9366</v>
      </c>
      <c r="C20" s="292" t="s">
        <v>9367</v>
      </c>
      <c r="D20" s="295">
        <v>7747</v>
      </c>
      <c r="F20" s="439" t="s">
        <v>9363</v>
      </c>
      <c r="H20" s="292"/>
      <c r="J20" s="292"/>
    </row>
    <row r="21" spans="1:10">
      <c r="A21" s="439" t="s">
        <v>814</v>
      </c>
      <c r="B21" s="439" t="s">
        <v>9368</v>
      </c>
      <c r="C21" s="292" t="s">
        <v>9369</v>
      </c>
      <c r="D21" s="293">
        <v>11891</v>
      </c>
      <c r="F21" s="439" t="s">
        <v>9361</v>
      </c>
      <c r="H21" s="292"/>
      <c r="J21" s="292"/>
    </row>
    <row r="22" spans="1:10">
      <c r="A22" s="439" t="s">
        <v>815</v>
      </c>
      <c r="B22" s="439" t="s">
        <v>9370</v>
      </c>
      <c r="C22" s="292" t="s">
        <v>9371</v>
      </c>
      <c r="D22" s="293">
        <v>11671</v>
      </c>
      <c r="F22" s="439" t="s">
        <v>9361</v>
      </c>
      <c r="H22" s="292"/>
      <c r="J22" s="292"/>
    </row>
    <row r="23" spans="1:10">
      <c r="A23" s="447">
        <v>5</v>
      </c>
      <c r="B23" s="439" t="s">
        <v>9372</v>
      </c>
      <c r="C23" s="292" t="s">
        <v>9373</v>
      </c>
      <c r="D23" s="295">
        <v>10957</v>
      </c>
      <c r="F23" s="439" t="s">
        <v>9363</v>
      </c>
      <c r="H23" s="292"/>
      <c r="J23" s="292"/>
    </row>
    <row r="24" spans="1:10">
      <c r="A24" s="439" t="s">
        <v>826</v>
      </c>
      <c r="B24" s="439" t="s">
        <v>9374</v>
      </c>
      <c r="C24" s="292" t="s">
        <v>9375</v>
      </c>
      <c r="D24" s="293">
        <v>11512</v>
      </c>
      <c r="F24" s="439" t="s">
        <v>9361</v>
      </c>
      <c r="H24" s="292"/>
      <c r="J24" s="292"/>
    </row>
    <row r="25" spans="1:10">
      <c r="A25" s="439" t="s">
        <v>827</v>
      </c>
      <c r="B25" s="439" t="s">
        <v>9376</v>
      </c>
      <c r="C25" s="292" t="s">
        <v>9377</v>
      </c>
      <c r="D25" s="293">
        <v>10932</v>
      </c>
      <c r="F25" s="440" t="s">
        <v>9358</v>
      </c>
      <c r="H25" s="292"/>
      <c r="J25" s="292"/>
    </row>
    <row r="26" spans="1:10">
      <c r="A26" s="439" t="s">
        <v>828</v>
      </c>
      <c r="B26" s="439" t="s">
        <v>9378</v>
      </c>
      <c r="C26" s="292" t="s">
        <v>9379</v>
      </c>
      <c r="D26" s="293">
        <v>11254</v>
      </c>
      <c r="F26" s="439" t="s">
        <v>9358</v>
      </c>
      <c r="H26" s="292"/>
      <c r="J26" s="292"/>
    </row>
    <row r="27" spans="1:10">
      <c r="A27" s="439" t="s">
        <v>829</v>
      </c>
      <c r="B27" s="439" t="s">
        <v>9380</v>
      </c>
      <c r="C27" s="292" t="s">
        <v>9381</v>
      </c>
      <c r="D27" s="295">
        <v>10685</v>
      </c>
      <c r="F27" s="439" t="s">
        <v>9363</v>
      </c>
      <c r="H27" s="292"/>
      <c r="J27" s="292"/>
    </row>
    <row r="28" spans="1:10">
      <c r="A28" s="439" t="s">
        <v>830</v>
      </c>
      <c r="B28" s="439" t="s">
        <v>9382</v>
      </c>
      <c r="C28" s="292" t="s">
        <v>9383</v>
      </c>
      <c r="D28" s="293">
        <v>11553</v>
      </c>
      <c r="F28" s="439" t="s">
        <v>9363</v>
      </c>
      <c r="H28" s="292"/>
      <c r="J28" s="292"/>
    </row>
    <row r="29" spans="1:10">
      <c r="A29" s="439" t="s">
        <v>831</v>
      </c>
      <c r="B29" s="439" t="s">
        <v>9384</v>
      </c>
      <c r="C29" s="292" t="s">
        <v>9385</v>
      </c>
      <c r="D29" s="293">
        <v>7783</v>
      </c>
      <c r="F29" s="446" t="s">
        <v>9362</v>
      </c>
      <c r="H29" s="292"/>
      <c r="J29" s="292"/>
    </row>
    <row r="30" spans="1:10">
      <c r="A30" s="439" t="s">
        <v>832</v>
      </c>
      <c r="B30" s="439" t="s">
        <v>9386</v>
      </c>
      <c r="C30" s="292" t="s">
        <v>9387</v>
      </c>
      <c r="D30" s="295">
        <v>4041</v>
      </c>
      <c r="F30" s="439" t="s">
        <v>9363</v>
      </c>
      <c r="H30" s="292"/>
      <c r="J30" s="292"/>
    </row>
    <row r="31" spans="1:10">
      <c r="A31" s="439" t="s">
        <v>833</v>
      </c>
      <c r="B31" s="439" t="s">
        <v>9388</v>
      </c>
      <c r="C31" s="292" t="s">
        <v>9389</v>
      </c>
      <c r="D31" s="295">
        <v>11388</v>
      </c>
      <c r="F31" s="439" t="s">
        <v>9363</v>
      </c>
      <c r="H31" s="292"/>
      <c r="J31" s="292"/>
    </row>
    <row r="32" spans="1:10">
      <c r="A32" s="439" t="s">
        <v>834</v>
      </c>
      <c r="B32" s="439" t="s">
        <v>9390</v>
      </c>
      <c r="C32" s="292" t="s">
        <v>9391</v>
      </c>
      <c r="D32" s="293">
        <v>12135</v>
      </c>
      <c r="F32" s="439" t="s">
        <v>9361</v>
      </c>
      <c r="H32" s="292"/>
      <c r="J32" s="292"/>
    </row>
    <row r="33" spans="1:10">
      <c r="A33" s="439" t="s">
        <v>835</v>
      </c>
      <c r="B33" s="439" t="s">
        <v>9392</v>
      </c>
      <c r="C33" s="292" t="s">
        <v>9393</v>
      </c>
      <c r="D33" s="293">
        <v>11872</v>
      </c>
      <c r="F33" s="439" t="s">
        <v>9358</v>
      </c>
      <c r="H33" s="292"/>
      <c r="J33" s="292"/>
    </row>
    <row r="34" spans="1:10">
      <c r="A34" s="439" t="s">
        <v>836</v>
      </c>
      <c r="B34" s="439" t="s">
        <v>9394</v>
      </c>
      <c r="C34" s="292" t="s">
        <v>9395</v>
      </c>
      <c r="D34" s="293">
        <v>6701</v>
      </c>
      <c r="F34" s="439" t="s">
        <v>9361</v>
      </c>
      <c r="H34" s="292"/>
      <c r="J34" s="292"/>
    </row>
    <row r="35" spans="1:10">
      <c r="A35" s="439" t="s">
        <v>837</v>
      </c>
      <c r="B35" s="439" t="s">
        <v>9396</v>
      </c>
      <c r="C35" s="292" t="s">
        <v>9397</v>
      </c>
      <c r="D35" s="295">
        <v>11479</v>
      </c>
      <c r="F35" s="439" t="s">
        <v>9363</v>
      </c>
      <c r="H35" s="292"/>
      <c r="J35" s="292"/>
    </row>
    <row r="36" spans="1:10">
      <c r="A36" s="439" t="s">
        <v>838</v>
      </c>
      <c r="B36" s="439" t="s">
        <v>9398</v>
      </c>
      <c r="C36" s="292" t="s">
        <v>9399</v>
      </c>
      <c r="D36" s="293">
        <v>11248</v>
      </c>
      <c r="F36" s="440" t="s">
        <v>9358</v>
      </c>
      <c r="H36" s="292"/>
      <c r="J36" s="292"/>
    </row>
    <row r="37" spans="1:10">
      <c r="A37" s="439" t="s">
        <v>840</v>
      </c>
      <c r="B37" s="439" t="s">
        <v>9400</v>
      </c>
      <c r="C37" s="292" t="s">
        <v>9401</v>
      </c>
      <c r="D37" s="295">
        <v>10427</v>
      </c>
      <c r="F37" s="439" t="s">
        <v>9363</v>
      </c>
      <c r="H37" s="292"/>
      <c r="J37" s="292"/>
    </row>
    <row r="38" spans="1:10">
      <c r="A38" s="439" t="s">
        <v>841</v>
      </c>
      <c r="B38" s="439" t="s">
        <v>9402</v>
      </c>
      <c r="C38" s="292" t="s">
        <v>9403</v>
      </c>
      <c r="D38" s="293">
        <v>10773</v>
      </c>
      <c r="F38" s="439" t="s">
        <v>9361</v>
      </c>
      <c r="H38" s="292"/>
      <c r="J38" s="292"/>
    </row>
    <row r="39" spans="1:10">
      <c r="A39" s="439" t="s">
        <v>878</v>
      </c>
      <c r="B39" s="439" t="s">
        <v>9404</v>
      </c>
      <c r="C39" s="292" t="s">
        <v>9405</v>
      </c>
      <c r="D39" s="293">
        <v>7221</v>
      </c>
      <c r="F39" s="439" t="s">
        <v>9358</v>
      </c>
      <c r="H39" s="292"/>
      <c r="J39" s="292"/>
    </row>
    <row r="40" spans="1:10">
      <c r="A40" s="439" t="s">
        <v>879</v>
      </c>
      <c r="B40" s="439" t="s">
        <v>9406</v>
      </c>
      <c r="C40" s="292" t="s">
        <v>9407</v>
      </c>
      <c r="D40" s="293">
        <v>11694</v>
      </c>
      <c r="F40" s="439" t="s">
        <v>9358</v>
      </c>
      <c r="H40" s="292"/>
      <c r="J40" s="292"/>
    </row>
    <row r="42" spans="1:10">
      <c r="A42" s="440" t="s">
        <v>9408</v>
      </c>
    </row>
  </sheetData>
  <printOptions gridLinesSet="0"/>
  <pageMargins left="0.78740157480314965" right="0" top="0.51181102362204722" bottom="0.51181102362204722" header="0.51181102362204722" footer="0.51181102362204722"/>
  <pageSetup paperSize="9" scale="73" orientation="portrait" horizontalDpi="300" verticalDpi="300" r:id="rId1"/>
  <headerFooter alignWithMargins="0">
    <oddFooter>&amp;C&amp;"Times New Roman,Regular"&amp;8&amp;P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04"/>
  <sheetViews>
    <sheetView showGridLines="0" zoomScaleNormal="100" workbookViewId="0"/>
  </sheetViews>
  <sheetFormatPr defaultColWidth="12.59765625" defaultRowHeight="14.5"/>
  <cols>
    <col min="1" max="1" width="4.8984375" style="5" customWidth="1"/>
    <col min="2" max="2" width="43" style="5" customWidth="1"/>
    <col min="3" max="3" width="11.59765625" style="5" customWidth="1"/>
    <col min="4" max="4" width="10" style="5" customWidth="1"/>
    <col min="5" max="5" width="2.3984375" style="5" customWidth="1"/>
    <col min="6" max="6" width="33.09765625" style="5" customWidth="1"/>
    <col min="7" max="16384" width="12.59765625" style="5"/>
  </cols>
  <sheetData>
    <row r="1" spans="1:6">
      <c r="A1" s="6" t="s">
        <v>1075</v>
      </c>
      <c r="D1" s="4">
        <v>2016</v>
      </c>
    </row>
    <row r="3" spans="1:6">
      <c r="A3" s="6" t="s">
        <v>13686</v>
      </c>
      <c r="C3" s="6"/>
      <c r="D3" s="763">
        <f t="shared" ref="D3" si="0">SUM(D7:D10)</f>
        <v>366601</v>
      </c>
    </row>
    <row r="4" spans="1:6" ht="15" thickBot="1">
      <c r="A4" s="6" t="s">
        <v>14017</v>
      </c>
      <c r="D4" s="764">
        <f>D40</f>
        <v>169933</v>
      </c>
    </row>
    <row r="5" spans="1:6" ht="15" thickBot="1">
      <c r="A5" s="6"/>
      <c r="C5" s="6"/>
      <c r="D5" s="765">
        <f>D3+D4</f>
        <v>536534</v>
      </c>
    </row>
    <row r="6" spans="1:6">
      <c r="A6" s="6"/>
      <c r="C6" s="6"/>
      <c r="D6" s="763"/>
    </row>
    <row r="7" spans="1:6">
      <c r="A7" s="6" t="s">
        <v>14018</v>
      </c>
      <c r="C7" s="6"/>
      <c r="D7" s="763">
        <f t="shared" ref="D7" si="1">D70</f>
        <v>128777</v>
      </c>
      <c r="F7" s="766"/>
    </row>
    <row r="8" spans="1:6">
      <c r="A8" s="6" t="s">
        <v>14019</v>
      </c>
      <c r="C8" s="6"/>
      <c r="D8" s="763">
        <f t="shared" ref="D8" si="2">D113</f>
        <v>68560</v>
      </c>
      <c r="F8" s="766"/>
    </row>
    <row r="9" spans="1:6">
      <c r="A9" s="6" t="s">
        <v>14020</v>
      </c>
      <c r="C9" s="6"/>
      <c r="D9" s="763">
        <f t="shared" ref="D9" si="3">D148</f>
        <v>50332</v>
      </c>
      <c r="F9" s="766"/>
    </row>
    <row r="10" spans="1:6">
      <c r="A10" s="6" t="s">
        <v>14021</v>
      </c>
      <c r="C10" s="6"/>
      <c r="D10" s="763">
        <f t="shared" ref="D10" si="4">D169</f>
        <v>118932</v>
      </c>
      <c r="F10" s="766"/>
    </row>
    <row r="12" spans="1:6">
      <c r="A12" s="6" t="s">
        <v>14022</v>
      </c>
      <c r="D12" s="763">
        <f t="shared" ref="D12" si="5">D105</f>
        <v>77715</v>
      </c>
      <c r="F12" s="6" t="s">
        <v>14023</v>
      </c>
    </row>
    <row r="13" spans="1:6">
      <c r="D13" s="767"/>
    </row>
    <row r="14" spans="1:6">
      <c r="A14" s="6" t="s">
        <v>14024</v>
      </c>
      <c r="D14" s="763">
        <f t="shared" ref="D14" si="6">D162</f>
        <v>50332</v>
      </c>
      <c r="F14" s="6" t="s">
        <v>13684</v>
      </c>
    </row>
    <row r="15" spans="1:6" ht="15" thickBot="1">
      <c r="D15" s="764">
        <f t="shared" ref="D15" si="7">D199</f>
        <v>23652</v>
      </c>
      <c r="F15" s="6" t="s">
        <v>14025</v>
      </c>
    </row>
    <row r="16" spans="1:6" ht="15" thickBot="1">
      <c r="D16" s="764">
        <f t="shared" ref="D16" si="8">SUM(D14:D15)</f>
        <v>73984</v>
      </c>
    </row>
    <row r="17" spans="1:6">
      <c r="D17" s="767"/>
    </row>
    <row r="18" spans="1:6">
      <c r="A18" s="6" t="s">
        <v>14026</v>
      </c>
      <c r="D18" s="763">
        <f t="shared" ref="D18" si="9">D106</f>
        <v>51062</v>
      </c>
      <c r="F18" s="6" t="s">
        <v>14023</v>
      </c>
    </row>
    <row r="19" spans="1:6">
      <c r="A19" s="6"/>
      <c r="D19" s="763">
        <f>D61</f>
        <v>17265</v>
      </c>
      <c r="F19" s="6" t="s">
        <v>14027</v>
      </c>
    </row>
    <row r="20" spans="1:6" ht="15" thickBot="1">
      <c r="A20" s="6"/>
      <c r="D20" s="764">
        <f t="shared" ref="D20" si="10">D200</f>
        <v>8753</v>
      </c>
      <c r="F20" s="6" t="s">
        <v>14025</v>
      </c>
    </row>
    <row r="21" spans="1:6" ht="15" thickBot="1">
      <c r="A21" s="6"/>
      <c r="D21" s="765">
        <f>SUM(D18:D20)</f>
        <v>77080</v>
      </c>
      <c r="F21" s="6"/>
    </row>
    <row r="22" spans="1:6">
      <c r="D22" s="767"/>
    </row>
    <row r="23" spans="1:6">
      <c r="A23" s="6" t="s">
        <v>14028</v>
      </c>
      <c r="D23" s="763">
        <f t="shared" ref="D23" si="11">D140</f>
        <v>68560</v>
      </c>
      <c r="F23" s="6" t="s">
        <v>13683</v>
      </c>
    </row>
    <row r="24" spans="1:6" ht="15" thickBot="1">
      <c r="A24" s="6"/>
      <c r="D24" s="764">
        <f>D201</f>
        <v>8529</v>
      </c>
      <c r="F24" s="6" t="s">
        <v>14025</v>
      </c>
    </row>
    <row r="25" spans="1:6" ht="15" thickBot="1">
      <c r="A25" s="6"/>
      <c r="D25" s="764">
        <f t="shared" ref="D25" si="12">SUM(D23:D24)</f>
        <v>77089</v>
      </c>
      <c r="F25" s="6"/>
    </row>
    <row r="26" spans="1:6">
      <c r="A26" s="6"/>
      <c r="D26" s="763"/>
      <c r="F26" s="6"/>
    </row>
    <row r="27" spans="1:6">
      <c r="A27" s="6" t="s">
        <v>14029</v>
      </c>
      <c r="D27" s="763">
        <f>D62</f>
        <v>74374</v>
      </c>
      <c r="F27" s="6" t="s">
        <v>14027</v>
      </c>
    </row>
    <row r="28" spans="1:6">
      <c r="D28" s="763"/>
      <c r="F28" s="6"/>
    </row>
    <row r="29" spans="1:6">
      <c r="A29" s="6" t="s">
        <v>14030</v>
      </c>
      <c r="D29" s="763">
        <f>D63</f>
        <v>78294</v>
      </c>
      <c r="F29" s="6" t="s">
        <v>14027</v>
      </c>
    </row>
    <row r="30" spans="1:6">
      <c r="D30" s="767"/>
    </row>
    <row r="31" spans="1:6">
      <c r="A31" s="6" t="s">
        <v>14031</v>
      </c>
      <c r="D31" s="763">
        <f t="shared" ref="D31" si="13">D202</f>
        <v>77998</v>
      </c>
      <c r="F31" s="6" t="s">
        <v>14025</v>
      </c>
    </row>
    <row r="32" spans="1:6">
      <c r="D32" s="767"/>
    </row>
    <row r="33" spans="1:6">
      <c r="A33" s="6" t="s">
        <v>1041</v>
      </c>
      <c r="D33" s="763">
        <f>D12+D16+D21+D25+D27+D29+D31</f>
        <v>536534</v>
      </c>
    </row>
    <row r="34" spans="1:6">
      <c r="D34" s="767"/>
    </row>
    <row r="35" spans="1:6">
      <c r="A35" s="768" t="s">
        <v>14032</v>
      </c>
      <c r="D35" s="763"/>
    </row>
    <row r="36" spans="1:6">
      <c r="A36" s="768"/>
      <c r="D36" s="763"/>
    </row>
    <row r="37" spans="1:6">
      <c r="A37" s="768"/>
      <c r="D37" s="763"/>
    </row>
    <row r="38" spans="1:6">
      <c r="A38" s="768"/>
      <c r="D38" s="10" t="s">
        <v>285</v>
      </c>
      <c r="F38" s="5" t="s">
        <v>4116</v>
      </c>
    </row>
    <row r="39" spans="1:6">
      <c r="A39" s="768"/>
      <c r="D39" s="4">
        <v>2016</v>
      </c>
      <c r="F39" s="6" t="s">
        <v>286</v>
      </c>
    </row>
    <row r="40" spans="1:6">
      <c r="A40" s="6" t="s">
        <v>14017</v>
      </c>
      <c r="D40" s="769">
        <f>SUM(D41:D59)</f>
        <v>169933</v>
      </c>
    </row>
    <row r="41" spans="1:6">
      <c r="A41" s="6" t="s">
        <v>812</v>
      </c>
      <c r="B41" s="6" t="s">
        <v>14033</v>
      </c>
      <c r="C41" s="306" t="s">
        <v>14034</v>
      </c>
      <c r="D41" s="293">
        <v>9140</v>
      </c>
      <c r="F41" s="6" t="s">
        <v>14029</v>
      </c>
    </row>
    <row r="42" spans="1:6">
      <c r="A42" s="6" t="s">
        <v>813</v>
      </c>
      <c r="B42" s="6" t="s">
        <v>14035</v>
      </c>
      <c r="C42" s="306" t="s">
        <v>14036</v>
      </c>
      <c r="D42" s="293">
        <v>10204</v>
      </c>
      <c r="F42" s="6" t="s">
        <v>14029</v>
      </c>
    </row>
    <row r="43" spans="1:6">
      <c r="A43" s="6" t="s">
        <v>814</v>
      </c>
      <c r="B43" s="6" t="s">
        <v>14037</v>
      </c>
      <c r="C43" s="306" t="s">
        <v>14038</v>
      </c>
      <c r="D43" s="293">
        <v>10136</v>
      </c>
      <c r="F43" s="6" t="s">
        <v>14029</v>
      </c>
    </row>
    <row r="44" spans="1:6">
      <c r="A44" s="6" t="s">
        <v>815</v>
      </c>
      <c r="B44" s="6" t="s">
        <v>2927</v>
      </c>
      <c r="C44" s="306" t="s">
        <v>14039</v>
      </c>
      <c r="D44" s="293">
        <v>8873</v>
      </c>
      <c r="F44" s="6" t="s">
        <v>14029</v>
      </c>
    </row>
    <row r="45" spans="1:6">
      <c r="A45" s="6" t="s">
        <v>816</v>
      </c>
      <c r="B45" s="6" t="s">
        <v>12253</v>
      </c>
      <c r="C45" s="306" t="s">
        <v>14040</v>
      </c>
      <c r="D45" s="293">
        <v>8239</v>
      </c>
      <c r="F45" s="6" t="s">
        <v>14030</v>
      </c>
    </row>
    <row r="46" spans="1:6">
      <c r="A46" s="6" t="s">
        <v>826</v>
      </c>
      <c r="B46" s="6" t="s">
        <v>14041</v>
      </c>
      <c r="C46" s="306" t="s">
        <v>14042</v>
      </c>
      <c r="D46" s="293">
        <v>8820</v>
      </c>
      <c r="F46" s="6" t="s">
        <v>14030</v>
      </c>
    </row>
    <row r="47" spans="1:6">
      <c r="A47" s="6" t="s">
        <v>827</v>
      </c>
      <c r="B47" s="6" t="s">
        <v>14043</v>
      </c>
      <c r="C47" s="306" t="s">
        <v>14044</v>
      </c>
      <c r="D47" s="293">
        <v>7840</v>
      </c>
      <c r="F47" s="6" t="s">
        <v>14030</v>
      </c>
    </row>
    <row r="48" spans="1:6">
      <c r="A48" s="6" t="s">
        <v>828</v>
      </c>
      <c r="B48" s="6" t="s">
        <v>14045</v>
      </c>
      <c r="C48" s="306" t="s">
        <v>14046</v>
      </c>
      <c r="D48" s="295">
        <v>8563</v>
      </c>
      <c r="F48" s="6" t="s">
        <v>14030</v>
      </c>
    </row>
    <row r="49" spans="1:6">
      <c r="A49" s="6" t="s">
        <v>829</v>
      </c>
      <c r="B49" s="6" t="s">
        <v>14047</v>
      </c>
      <c r="C49" s="306" t="s">
        <v>14048</v>
      </c>
      <c r="D49" s="295">
        <v>9556</v>
      </c>
      <c r="F49" s="6" t="s">
        <v>14029</v>
      </c>
    </row>
    <row r="50" spans="1:6">
      <c r="A50" s="6" t="s">
        <v>830</v>
      </c>
      <c r="B50" s="6" t="s">
        <v>14049</v>
      </c>
      <c r="C50" s="306" t="s">
        <v>14050</v>
      </c>
      <c r="D50" s="293">
        <v>8190</v>
      </c>
      <c r="F50" s="6" t="s">
        <v>14030</v>
      </c>
    </row>
    <row r="51" spans="1:6">
      <c r="A51" s="6" t="s">
        <v>831</v>
      </c>
      <c r="B51" s="6" t="s">
        <v>14051</v>
      </c>
      <c r="C51" s="306" t="s">
        <v>14052</v>
      </c>
      <c r="D51" s="293">
        <v>9451</v>
      </c>
      <c r="F51" s="6" t="s">
        <v>14030</v>
      </c>
    </row>
    <row r="52" spans="1:6">
      <c r="A52" s="6" t="s">
        <v>832</v>
      </c>
      <c r="B52" s="6" t="s">
        <v>14053</v>
      </c>
      <c r="C52" s="306" t="s">
        <v>14054</v>
      </c>
      <c r="D52" s="293">
        <v>8748</v>
      </c>
      <c r="F52" s="6" t="s">
        <v>14030</v>
      </c>
    </row>
    <row r="53" spans="1:6">
      <c r="A53" s="6" t="s">
        <v>833</v>
      </c>
      <c r="B53" s="6" t="s">
        <v>14055</v>
      </c>
      <c r="C53" s="306" t="s">
        <v>14056</v>
      </c>
      <c r="D53" s="293">
        <v>9307</v>
      </c>
      <c r="F53" s="6" t="s">
        <v>14030</v>
      </c>
    </row>
    <row r="54" spans="1:6">
      <c r="A54" s="6" t="s">
        <v>834</v>
      </c>
      <c r="B54" s="6" t="s">
        <v>14057</v>
      </c>
      <c r="C54" s="306" t="s">
        <v>14058</v>
      </c>
      <c r="D54" s="295">
        <v>8953</v>
      </c>
      <c r="F54" s="6" t="s">
        <v>14029</v>
      </c>
    </row>
    <row r="55" spans="1:6">
      <c r="A55" s="6" t="s">
        <v>835</v>
      </c>
      <c r="B55" s="6" t="s">
        <v>14059</v>
      </c>
      <c r="C55" s="306" t="s">
        <v>14060</v>
      </c>
      <c r="D55" s="293">
        <v>10139</v>
      </c>
      <c r="F55" s="6" t="s">
        <v>14029</v>
      </c>
    </row>
    <row r="56" spans="1:6">
      <c r="A56" s="6" t="s">
        <v>836</v>
      </c>
      <c r="B56" s="6" t="s">
        <v>14061</v>
      </c>
      <c r="C56" s="306" t="s">
        <v>14062</v>
      </c>
      <c r="D56" s="295">
        <v>7408</v>
      </c>
      <c r="F56" s="6" t="s">
        <v>14026</v>
      </c>
    </row>
    <row r="57" spans="1:6">
      <c r="A57" s="6" t="s">
        <v>837</v>
      </c>
      <c r="B57" s="6" t="s">
        <v>14063</v>
      </c>
      <c r="C57" s="306" t="s">
        <v>14064</v>
      </c>
      <c r="D57" s="295">
        <v>7373</v>
      </c>
      <c r="F57" s="6" t="s">
        <v>14029</v>
      </c>
    </row>
    <row r="58" spans="1:6">
      <c r="A58" s="6" t="s">
        <v>838</v>
      </c>
      <c r="B58" s="6" t="s">
        <v>14065</v>
      </c>
      <c r="C58" s="306" t="s">
        <v>14066</v>
      </c>
      <c r="D58" s="293">
        <v>9857</v>
      </c>
      <c r="F58" s="6" t="s">
        <v>14026</v>
      </c>
    </row>
    <row r="59" spans="1:6">
      <c r="A59" s="6" t="s">
        <v>840</v>
      </c>
      <c r="B59" s="6" t="s">
        <v>14067</v>
      </c>
      <c r="C59" s="306" t="s">
        <v>14068</v>
      </c>
      <c r="D59" s="293">
        <v>9136</v>
      </c>
      <c r="F59" s="6" t="s">
        <v>14030</v>
      </c>
    </row>
    <row r="60" spans="1:6">
      <c r="A60" s="6"/>
      <c r="B60" s="6"/>
      <c r="C60" s="306"/>
      <c r="D60" s="293"/>
      <c r="F60" s="6"/>
    </row>
    <row r="61" spans="1:6">
      <c r="A61" s="6" t="s">
        <v>14069</v>
      </c>
      <c r="B61" s="6"/>
      <c r="C61" s="306"/>
      <c r="D61" s="293">
        <f>D56+D58</f>
        <v>17265</v>
      </c>
      <c r="F61" s="6"/>
    </row>
    <row r="62" spans="1:6">
      <c r="A62" s="6" t="s">
        <v>14029</v>
      </c>
      <c r="B62" s="6"/>
      <c r="C62" s="306"/>
      <c r="D62" s="293">
        <f>SUM(D41:D44)+D49+D54+D55+D57</f>
        <v>74374</v>
      </c>
      <c r="F62" s="6"/>
    </row>
    <row r="63" spans="1:6">
      <c r="A63" s="6" t="s">
        <v>14070</v>
      </c>
      <c r="B63" s="6"/>
      <c r="C63" s="306"/>
      <c r="D63" s="293">
        <f>SUM(D45:D48)+SUM(D50:D53)+D59</f>
        <v>78294</v>
      </c>
      <c r="F63" s="6"/>
    </row>
    <row r="65" spans="1:9">
      <c r="A65" s="6" t="s">
        <v>14071</v>
      </c>
    </row>
    <row r="66" spans="1:9">
      <c r="A66" s="768"/>
      <c r="D66" s="763"/>
    </row>
    <row r="68" spans="1:9">
      <c r="D68" s="10" t="s">
        <v>285</v>
      </c>
      <c r="F68" s="5" t="s">
        <v>4116</v>
      </c>
    </row>
    <row r="69" spans="1:9">
      <c r="D69" s="4">
        <v>2016</v>
      </c>
      <c r="F69" s="6" t="s">
        <v>286</v>
      </c>
    </row>
    <row r="70" spans="1:9">
      <c r="A70" s="6" t="s">
        <v>14072</v>
      </c>
      <c r="C70" s="6"/>
      <c r="D70" s="763">
        <f>SUM(D71:D103)</f>
        <v>128777</v>
      </c>
      <c r="E70" s="763"/>
    </row>
    <row r="71" spans="1:9">
      <c r="A71" s="6" t="s">
        <v>812</v>
      </c>
      <c r="B71" s="6" t="s">
        <v>14073</v>
      </c>
      <c r="C71" s="292" t="s">
        <v>14074</v>
      </c>
      <c r="D71" s="293">
        <v>7422</v>
      </c>
      <c r="F71" s="6" t="s">
        <v>14022</v>
      </c>
      <c r="G71" s="292"/>
      <c r="I71" s="292"/>
    </row>
    <row r="72" spans="1:9">
      <c r="A72" s="6" t="s">
        <v>813</v>
      </c>
      <c r="B72" s="6" t="s">
        <v>14075</v>
      </c>
      <c r="C72" s="292" t="s">
        <v>14076</v>
      </c>
      <c r="D72" s="293">
        <v>4886</v>
      </c>
      <c r="F72" s="6" t="s">
        <v>14022</v>
      </c>
      <c r="G72" s="292"/>
      <c r="I72" s="292"/>
    </row>
    <row r="73" spans="1:9">
      <c r="A73" s="6" t="s">
        <v>814</v>
      </c>
      <c r="B73" s="6" t="s">
        <v>14077</v>
      </c>
      <c r="C73" s="292" t="s">
        <v>14078</v>
      </c>
      <c r="D73" s="293">
        <v>4287</v>
      </c>
      <c r="F73" s="6" t="s">
        <v>14026</v>
      </c>
      <c r="G73" s="292"/>
      <c r="I73" s="292"/>
    </row>
    <row r="74" spans="1:9">
      <c r="A74" s="6" t="s">
        <v>815</v>
      </c>
      <c r="B74" s="6" t="s">
        <v>14079</v>
      </c>
      <c r="C74" s="292" t="s">
        <v>14080</v>
      </c>
      <c r="D74" s="293">
        <v>4285</v>
      </c>
      <c r="F74" s="6" t="s">
        <v>14026</v>
      </c>
      <c r="G74" s="292"/>
      <c r="I74" s="292"/>
    </row>
    <row r="75" spans="1:9">
      <c r="A75" s="6" t="s">
        <v>816</v>
      </c>
      <c r="B75" s="6" t="s">
        <v>14081</v>
      </c>
      <c r="C75" s="292" t="s">
        <v>14082</v>
      </c>
      <c r="D75" s="293">
        <v>4233</v>
      </c>
      <c r="F75" s="6" t="s">
        <v>14022</v>
      </c>
      <c r="G75" s="292"/>
      <c r="I75" s="292"/>
    </row>
    <row r="76" spans="1:9">
      <c r="A76" s="6" t="s">
        <v>826</v>
      </c>
      <c r="B76" s="6" t="s">
        <v>10091</v>
      </c>
      <c r="C76" s="292" t="s">
        <v>14083</v>
      </c>
      <c r="D76" s="293">
        <v>6070</v>
      </c>
      <c r="F76" s="6" t="s">
        <v>14022</v>
      </c>
      <c r="G76" s="292"/>
      <c r="I76" s="292"/>
    </row>
    <row r="77" spans="1:9">
      <c r="A77" s="6" t="s">
        <v>827</v>
      </c>
      <c r="B77" s="6" t="s">
        <v>14084</v>
      </c>
      <c r="C77" s="292" t="s">
        <v>14085</v>
      </c>
      <c r="D77" s="295">
        <v>2298</v>
      </c>
      <c r="F77" s="6" t="s">
        <v>14022</v>
      </c>
      <c r="G77" s="292"/>
      <c r="I77" s="292"/>
    </row>
    <row r="78" spans="1:9">
      <c r="A78" s="6" t="s">
        <v>828</v>
      </c>
      <c r="B78" s="6" t="s">
        <v>14086</v>
      </c>
      <c r="C78" s="292" t="s">
        <v>14087</v>
      </c>
      <c r="D78" s="293">
        <v>4285</v>
      </c>
      <c r="F78" s="6" t="s">
        <v>14022</v>
      </c>
      <c r="G78" s="292"/>
      <c r="I78" s="292"/>
    </row>
    <row r="79" spans="1:9">
      <c r="A79" s="6" t="s">
        <v>829</v>
      </c>
      <c r="B79" s="6" t="s">
        <v>14088</v>
      </c>
      <c r="C79" s="292" t="s">
        <v>14089</v>
      </c>
      <c r="D79" s="293">
        <v>6007</v>
      </c>
      <c r="F79" s="6" t="s">
        <v>14022</v>
      </c>
      <c r="G79" s="292"/>
      <c r="I79" s="292"/>
    </row>
    <row r="80" spans="1:9">
      <c r="A80" s="6" t="s">
        <v>830</v>
      </c>
      <c r="B80" s="6" t="s">
        <v>14090</v>
      </c>
      <c r="C80" s="292" t="s">
        <v>14091</v>
      </c>
      <c r="D80" s="295">
        <v>4577</v>
      </c>
      <c r="F80" s="6" t="s">
        <v>14026</v>
      </c>
      <c r="G80" s="292"/>
      <c r="I80" s="292"/>
    </row>
    <row r="81" spans="1:9">
      <c r="A81" s="6" t="s">
        <v>831</v>
      </c>
      <c r="B81" s="6" t="s">
        <v>14092</v>
      </c>
      <c r="C81" s="292" t="s">
        <v>14093</v>
      </c>
      <c r="D81" s="295">
        <v>2487</v>
      </c>
      <c r="F81" s="6" t="s">
        <v>14026</v>
      </c>
      <c r="G81" s="292"/>
      <c r="I81" s="292"/>
    </row>
    <row r="82" spans="1:9">
      <c r="A82" s="6" t="s">
        <v>832</v>
      </c>
      <c r="B82" s="6" t="s">
        <v>14094</v>
      </c>
      <c r="C82" s="292" t="s">
        <v>14095</v>
      </c>
      <c r="D82" s="295">
        <v>2569</v>
      </c>
      <c r="F82" s="6" t="s">
        <v>14026</v>
      </c>
      <c r="G82" s="292"/>
      <c r="I82" s="292"/>
    </row>
    <row r="83" spans="1:9">
      <c r="A83" s="6" t="s">
        <v>833</v>
      </c>
      <c r="B83" s="6" t="s">
        <v>14096</v>
      </c>
      <c r="C83" s="292" t="s">
        <v>14097</v>
      </c>
      <c r="D83" s="295">
        <v>7028</v>
      </c>
      <c r="F83" s="6" t="s">
        <v>14026</v>
      </c>
      <c r="G83" s="292"/>
      <c r="I83" s="292"/>
    </row>
    <row r="84" spans="1:9">
      <c r="A84" s="6" t="s">
        <v>834</v>
      </c>
      <c r="B84" s="6" t="s">
        <v>14098</v>
      </c>
      <c r="C84" s="292" t="s">
        <v>14099</v>
      </c>
      <c r="D84" s="295">
        <v>2456</v>
      </c>
      <c r="F84" s="6" t="s">
        <v>14026</v>
      </c>
      <c r="G84" s="292"/>
      <c r="I84" s="292"/>
    </row>
    <row r="85" spans="1:9">
      <c r="A85" s="6" t="s">
        <v>835</v>
      </c>
      <c r="B85" s="6" t="s">
        <v>14100</v>
      </c>
      <c r="C85" s="292" t="s">
        <v>14101</v>
      </c>
      <c r="D85" s="295">
        <v>2079</v>
      </c>
      <c r="F85" s="6" t="s">
        <v>14026</v>
      </c>
      <c r="G85" s="292"/>
      <c r="I85" s="292"/>
    </row>
    <row r="86" spans="1:9">
      <c r="A86" s="6" t="s">
        <v>836</v>
      </c>
      <c r="B86" s="6" t="s">
        <v>14102</v>
      </c>
      <c r="C86" s="292" t="s">
        <v>14103</v>
      </c>
      <c r="D86" s="293">
        <v>6329</v>
      </c>
      <c r="F86" s="6" t="s">
        <v>14022</v>
      </c>
      <c r="G86" s="292"/>
      <c r="I86" s="292"/>
    </row>
    <row r="87" spans="1:9">
      <c r="A87" s="6" t="s">
        <v>837</v>
      </c>
      <c r="B87" s="6" t="s">
        <v>14104</v>
      </c>
      <c r="C87" s="292" t="s">
        <v>14105</v>
      </c>
      <c r="D87" s="295">
        <v>2450</v>
      </c>
      <c r="F87" s="6" t="s">
        <v>14026</v>
      </c>
      <c r="G87" s="292"/>
      <c r="I87" s="292"/>
    </row>
    <row r="88" spans="1:9">
      <c r="A88" s="6" t="s">
        <v>838</v>
      </c>
      <c r="B88" s="6" t="s">
        <v>14106</v>
      </c>
      <c r="C88" s="292" t="s">
        <v>14107</v>
      </c>
      <c r="D88" s="293">
        <v>5113</v>
      </c>
      <c r="F88" s="6" t="s">
        <v>14022</v>
      </c>
      <c r="G88" s="292"/>
      <c r="I88" s="292"/>
    </row>
    <row r="89" spans="1:9">
      <c r="A89" s="6" t="s">
        <v>840</v>
      </c>
      <c r="B89" s="6" t="s">
        <v>876</v>
      </c>
      <c r="C89" s="292" t="s">
        <v>14108</v>
      </c>
      <c r="D89" s="295">
        <v>2239</v>
      </c>
      <c r="F89" s="6" t="s">
        <v>14026</v>
      </c>
      <c r="G89" s="292"/>
      <c r="I89" s="292"/>
    </row>
    <row r="90" spans="1:9">
      <c r="A90" s="6" t="s">
        <v>841</v>
      </c>
      <c r="B90" s="6" t="s">
        <v>14109</v>
      </c>
      <c r="C90" s="292" t="s">
        <v>14110</v>
      </c>
      <c r="D90" s="295">
        <v>4799</v>
      </c>
      <c r="F90" s="6" t="s">
        <v>14022</v>
      </c>
      <c r="G90" s="292"/>
      <c r="I90" s="292"/>
    </row>
    <row r="91" spans="1:9">
      <c r="A91" s="6" t="s">
        <v>878</v>
      </c>
      <c r="B91" s="6" t="s">
        <v>14111</v>
      </c>
      <c r="C91" s="292" t="s">
        <v>14112</v>
      </c>
      <c r="D91" s="295">
        <v>2433</v>
      </c>
      <c r="F91" s="6" t="s">
        <v>14026</v>
      </c>
      <c r="G91" s="292"/>
      <c r="I91" s="292"/>
    </row>
    <row r="92" spans="1:9">
      <c r="A92" s="6" t="s">
        <v>879</v>
      </c>
      <c r="B92" s="6" t="s">
        <v>5476</v>
      </c>
      <c r="C92" s="292" t="s">
        <v>14113</v>
      </c>
      <c r="D92" s="293">
        <v>4966</v>
      </c>
      <c r="F92" s="6" t="s">
        <v>14022</v>
      </c>
      <c r="G92" s="292"/>
      <c r="I92" s="292"/>
    </row>
    <row r="93" spans="1:9">
      <c r="A93" s="6" t="s">
        <v>880</v>
      </c>
      <c r="B93" s="6" t="s">
        <v>14114</v>
      </c>
      <c r="C93" s="292" t="s">
        <v>14115</v>
      </c>
      <c r="D93" s="293">
        <v>4070</v>
      </c>
      <c r="F93" s="6" t="s">
        <v>14022</v>
      </c>
      <c r="G93" s="292"/>
      <c r="I93" s="292"/>
    </row>
    <row r="94" spans="1:9">
      <c r="A94" s="6" t="s">
        <v>721</v>
      </c>
      <c r="B94" s="6" t="s">
        <v>14116</v>
      </c>
      <c r="C94" s="292" t="s">
        <v>14117</v>
      </c>
      <c r="D94" s="295">
        <v>2312</v>
      </c>
      <c r="F94" s="6" t="s">
        <v>14026</v>
      </c>
      <c r="G94" s="292"/>
      <c r="I94" s="292"/>
    </row>
    <row r="95" spans="1:9">
      <c r="A95" s="6" t="s">
        <v>722</v>
      </c>
      <c r="B95" s="6" t="s">
        <v>14118</v>
      </c>
      <c r="C95" s="292" t="s">
        <v>14119</v>
      </c>
      <c r="D95" s="295">
        <v>2538</v>
      </c>
      <c r="F95" s="5" t="s">
        <v>14026</v>
      </c>
      <c r="G95" s="292"/>
      <c r="I95" s="292"/>
    </row>
    <row r="96" spans="1:9">
      <c r="A96" s="6" t="s">
        <v>723</v>
      </c>
      <c r="B96" s="6" t="s">
        <v>14120</v>
      </c>
      <c r="C96" s="292" t="s">
        <v>14121</v>
      </c>
      <c r="D96" s="295">
        <v>2468</v>
      </c>
      <c r="F96" s="6" t="s">
        <v>14026</v>
      </c>
      <c r="G96" s="292"/>
      <c r="I96" s="292"/>
    </row>
    <row r="97" spans="1:9">
      <c r="A97" s="6" t="s">
        <v>733</v>
      </c>
      <c r="B97" s="6" t="s">
        <v>14122</v>
      </c>
      <c r="C97" s="292" t="s">
        <v>14123</v>
      </c>
      <c r="D97" s="295">
        <v>2196</v>
      </c>
      <c r="F97" s="6" t="s">
        <v>14026</v>
      </c>
      <c r="G97" s="292"/>
      <c r="I97" s="292"/>
    </row>
    <row r="98" spans="1:9">
      <c r="A98" s="6" t="s">
        <v>734</v>
      </c>
      <c r="B98" s="6" t="s">
        <v>14124</v>
      </c>
      <c r="C98" s="292" t="s">
        <v>14125</v>
      </c>
      <c r="D98" s="293">
        <v>4179</v>
      </c>
      <c r="F98" s="6" t="s">
        <v>14022</v>
      </c>
      <c r="G98" s="292"/>
      <c r="I98" s="292"/>
    </row>
    <row r="99" spans="1:9">
      <c r="A99" s="6" t="s">
        <v>735</v>
      </c>
      <c r="B99" s="6" t="s">
        <v>14126</v>
      </c>
      <c r="C99" s="292" t="s">
        <v>14127</v>
      </c>
      <c r="D99" s="293">
        <v>2154</v>
      </c>
      <c r="F99" s="5" t="s">
        <v>14022</v>
      </c>
      <c r="G99" s="292"/>
      <c r="I99" s="292"/>
    </row>
    <row r="100" spans="1:9">
      <c r="A100" s="6" t="s">
        <v>736</v>
      </c>
      <c r="B100" s="6" t="s">
        <v>14128</v>
      </c>
      <c r="C100" s="292" t="s">
        <v>14129</v>
      </c>
      <c r="D100" s="293">
        <v>6288</v>
      </c>
      <c r="F100" s="6" t="s">
        <v>14022</v>
      </c>
      <c r="G100" s="292"/>
      <c r="I100" s="292"/>
    </row>
    <row r="101" spans="1:9">
      <c r="A101" s="6" t="s">
        <v>931</v>
      </c>
      <c r="B101" s="6" t="s">
        <v>14130</v>
      </c>
      <c r="C101" s="292" t="s">
        <v>14131</v>
      </c>
      <c r="D101" s="295">
        <v>2321</v>
      </c>
      <c r="F101" s="6" t="s">
        <v>14022</v>
      </c>
      <c r="G101" s="292"/>
      <c r="I101" s="292"/>
    </row>
    <row r="102" spans="1:9">
      <c r="A102" s="6" t="s">
        <v>932</v>
      </c>
      <c r="B102" s="6" t="s">
        <v>14132</v>
      </c>
      <c r="C102" s="292" t="s">
        <v>14133</v>
      </c>
      <c r="D102" s="295">
        <v>2295</v>
      </c>
      <c r="F102" s="6" t="s">
        <v>14022</v>
      </c>
      <c r="G102" s="292"/>
      <c r="I102" s="292"/>
    </row>
    <row r="103" spans="1:9">
      <c r="A103" s="6" t="s">
        <v>933</v>
      </c>
      <c r="B103" s="6" t="s">
        <v>14134</v>
      </c>
      <c r="C103" s="292" t="s">
        <v>14135</v>
      </c>
      <c r="D103" s="295">
        <v>4658</v>
      </c>
      <c r="F103" s="6" t="s">
        <v>14026</v>
      </c>
    </row>
    <row r="104" spans="1:9">
      <c r="D104" s="767"/>
    </row>
    <row r="105" spans="1:9">
      <c r="A105" s="6" t="s">
        <v>14022</v>
      </c>
      <c r="D105" s="763">
        <f>D71+D72+SUM(D75:D79)+D86+D88+D90+D92+D93+SUM(D98:D102)</f>
        <v>77715</v>
      </c>
    </row>
    <row r="106" spans="1:9">
      <c r="A106" s="6" t="s">
        <v>14069</v>
      </c>
      <c r="D106" s="763">
        <f>D73+D74+SUM(D80:D85)+D87+D89+D91+SUM(D94:D97)+D103</f>
        <v>51062</v>
      </c>
    </row>
    <row r="107" spans="1:9">
      <c r="A107" s="6"/>
      <c r="D107" s="763"/>
    </row>
    <row r="108" spans="1:9">
      <c r="A108" s="6" t="s">
        <v>14136</v>
      </c>
      <c r="D108" s="763"/>
    </row>
    <row r="109" spans="1:9">
      <c r="A109" s="6"/>
      <c r="B109" s="6"/>
      <c r="D109" s="770"/>
    </row>
    <row r="110" spans="1:9">
      <c r="A110" s="6"/>
      <c r="B110" s="6"/>
      <c r="D110" s="770"/>
    </row>
    <row r="111" spans="1:9">
      <c r="D111" s="10" t="s">
        <v>285</v>
      </c>
      <c r="F111" s="5" t="s">
        <v>4116</v>
      </c>
    </row>
    <row r="112" spans="1:9">
      <c r="D112" s="4">
        <v>2016</v>
      </c>
      <c r="F112" s="6" t="s">
        <v>286</v>
      </c>
    </row>
    <row r="113" spans="1:9">
      <c r="A113" s="6" t="s">
        <v>14137</v>
      </c>
      <c r="D113" s="763">
        <f t="shared" ref="D113" si="14">SUM(D114:D138)</f>
        <v>68560</v>
      </c>
    </row>
    <row r="114" spans="1:9">
      <c r="A114" s="6" t="s">
        <v>812</v>
      </c>
      <c r="B114" s="6" t="s">
        <v>14138</v>
      </c>
      <c r="C114" s="292" t="s">
        <v>14139</v>
      </c>
      <c r="D114" s="293">
        <v>1865</v>
      </c>
      <c r="F114" s="6" t="s">
        <v>14028</v>
      </c>
      <c r="G114" s="292"/>
      <c r="I114" s="292"/>
    </row>
    <row r="115" spans="1:9">
      <c r="A115" s="6" t="s">
        <v>813</v>
      </c>
      <c r="B115" s="6" t="s">
        <v>14140</v>
      </c>
      <c r="C115" s="292" t="s">
        <v>14141</v>
      </c>
      <c r="D115" s="293">
        <v>3520</v>
      </c>
      <c r="F115" s="6" t="s">
        <v>14028</v>
      </c>
      <c r="G115" s="292"/>
      <c r="I115" s="292"/>
    </row>
    <row r="116" spans="1:9">
      <c r="A116" s="6" t="s">
        <v>814</v>
      </c>
      <c r="B116" s="6" t="s">
        <v>14142</v>
      </c>
      <c r="C116" s="292" t="s">
        <v>14143</v>
      </c>
      <c r="D116" s="293">
        <v>3339</v>
      </c>
      <c r="F116" s="6" t="s">
        <v>14028</v>
      </c>
      <c r="G116" s="292"/>
      <c r="I116" s="292"/>
    </row>
    <row r="117" spans="1:9">
      <c r="A117" s="6" t="s">
        <v>815</v>
      </c>
      <c r="B117" s="6" t="s">
        <v>14144</v>
      </c>
      <c r="C117" s="292" t="s">
        <v>14145</v>
      </c>
      <c r="D117" s="293">
        <v>3580</v>
      </c>
      <c r="F117" s="6" t="s">
        <v>14028</v>
      </c>
      <c r="G117" s="292"/>
      <c r="I117" s="292"/>
    </row>
    <row r="118" spans="1:9">
      <c r="A118" s="6" t="s">
        <v>816</v>
      </c>
      <c r="B118" s="6" t="s">
        <v>14146</v>
      </c>
      <c r="C118" s="292" t="s">
        <v>14147</v>
      </c>
      <c r="D118" s="293">
        <v>1725</v>
      </c>
      <c r="F118" s="6" t="s">
        <v>14028</v>
      </c>
      <c r="G118" s="292"/>
      <c r="I118" s="292"/>
    </row>
    <row r="119" spans="1:9">
      <c r="A119" s="6" t="s">
        <v>826</v>
      </c>
      <c r="B119" s="6" t="s">
        <v>14148</v>
      </c>
      <c r="C119" s="292" t="s">
        <v>14149</v>
      </c>
      <c r="D119" s="293">
        <v>1646</v>
      </c>
      <c r="F119" s="6" t="s">
        <v>14028</v>
      </c>
      <c r="G119" s="292"/>
      <c r="I119" s="292"/>
    </row>
    <row r="120" spans="1:9">
      <c r="A120" s="6" t="s">
        <v>827</v>
      </c>
      <c r="B120" s="6" t="s">
        <v>14150</v>
      </c>
      <c r="C120" s="292" t="s">
        <v>14151</v>
      </c>
      <c r="D120" s="293">
        <v>1703</v>
      </c>
      <c r="F120" s="6" t="s">
        <v>14028</v>
      </c>
      <c r="G120" s="292"/>
      <c r="I120" s="292"/>
    </row>
    <row r="121" spans="1:9">
      <c r="A121" s="6" t="s">
        <v>828</v>
      </c>
      <c r="B121" s="6" t="s">
        <v>888</v>
      </c>
      <c r="C121" s="292" t="s">
        <v>14152</v>
      </c>
      <c r="D121" s="293">
        <v>3091</v>
      </c>
      <c r="F121" s="6" t="s">
        <v>14028</v>
      </c>
      <c r="G121" s="292"/>
      <c r="I121" s="292"/>
    </row>
    <row r="122" spans="1:9">
      <c r="A122" s="6" t="s">
        <v>829</v>
      </c>
      <c r="B122" s="6" t="s">
        <v>14153</v>
      </c>
      <c r="C122" s="292" t="s">
        <v>14154</v>
      </c>
      <c r="D122" s="293">
        <v>3075</v>
      </c>
      <c r="F122" s="6" t="s">
        <v>14028</v>
      </c>
      <c r="G122" s="292"/>
      <c r="I122" s="292"/>
    </row>
    <row r="123" spans="1:9">
      <c r="A123" s="6" t="s">
        <v>830</v>
      </c>
      <c r="B123" s="6" t="s">
        <v>14155</v>
      </c>
      <c r="C123" s="292" t="s">
        <v>14156</v>
      </c>
      <c r="D123" s="293">
        <v>5202</v>
      </c>
      <c r="F123" s="6" t="s">
        <v>14028</v>
      </c>
      <c r="G123" s="292"/>
      <c r="I123" s="292"/>
    </row>
    <row r="124" spans="1:9">
      <c r="A124" s="6" t="s">
        <v>831</v>
      </c>
      <c r="B124" s="6" t="s">
        <v>14157</v>
      </c>
      <c r="C124" s="292" t="s">
        <v>14158</v>
      </c>
      <c r="D124" s="293">
        <v>3831</v>
      </c>
      <c r="F124" s="6" t="s">
        <v>14028</v>
      </c>
      <c r="G124" s="292"/>
      <c r="I124" s="292"/>
    </row>
    <row r="125" spans="1:9">
      <c r="A125" s="6" t="s">
        <v>832</v>
      </c>
      <c r="B125" s="6" t="s">
        <v>14159</v>
      </c>
      <c r="C125" s="292" t="s">
        <v>14160</v>
      </c>
      <c r="D125" s="293">
        <v>1837</v>
      </c>
      <c r="F125" s="6" t="s">
        <v>14028</v>
      </c>
      <c r="G125" s="292"/>
      <c r="I125" s="292"/>
    </row>
    <row r="126" spans="1:9">
      <c r="A126" s="6" t="s">
        <v>833</v>
      </c>
      <c r="B126" s="6" t="s">
        <v>14161</v>
      </c>
      <c r="C126" s="292" t="s">
        <v>14162</v>
      </c>
      <c r="D126" s="293">
        <v>1582</v>
      </c>
      <c r="F126" s="6" t="s">
        <v>14028</v>
      </c>
      <c r="G126" s="292"/>
      <c r="I126" s="292"/>
    </row>
    <row r="127" spans="1:9">
      <c r="A127" s="6" t="s">
        <v>834</v>
      </c>
      <c r="B127" s="6" t="s">
        <v>14163</v>
      </c>
      <c r="C127" s="292" t="s">
        <v>14164</v>
      </c>
      <c r="D127" s="293">
        <v>1693</v>
      </c>
      <c r="F127" s="6" t="s">
        <v>14028</v>
      </c>
      <c r="G127" s="292"/>
      <c r="I127" s="292"/>
    </row>
    <row r="128" spans="1:9">
      <c r="A128" s="6" t="s">
        <v>835</v>
      </c>
      <c r="B128" s="6" t="s">
        <v>14165</v>
      </c>
      <c r="C128" s="292" t="s">
        <v>14166</v>
      </c>
      <c r="D128" s="293">
        <v>3330</v>
      </c>
      <c r="F128" s="6" t="s">
        <v>14028</v>
      </c>
      <c r="G128" s="292"/>
      <c r="I128" s="292"/>
    </row>
    <row r="129" spans="1:9">
      <c r="A129" s="6" t="s">
        <v>836</v>
      </c>
      <c r="B129" s="6" t="s">
        <v>14167</v>
      </c>
      <c r="C129" s="292" t="s">
        <v>14168</v>
      </c>
      <c r="D129" s="295">
        <v>3279</v>
      </c>
      <c r="F129" s="6" t="s">
        <v>14028</v>
      </c>
      <c r="G129" s="292"/>
      <c r="I129" s="292"/>
    </row>
    <row r="130" spans="1:9">
      <c r="A130" s="6" t="s">
        <v>837</v>
      </c>
      <c r="B130" s="6" t="s">
        <v>14169</v>
      </c>
      <c r="C130" s="292" t="s">
        <v>14170</v>
      </c>
      <c r="D130" s="295">
        <v>3815</v>
      </c>
      <c r="F130" s="6" t="s">
        <v>14028</v>
      </c>
      <c r="G130" s="292"/>
      <c r="I130" s="292"/>
    </row>
    <row r="131" spans="1:9">
      <c r="A131" s="6" t="s">
        <v>838</v>
      </c>
      <c r="B131" s="6" t="s">
        <v>14171</v>
      </c>
      <c r="C131" s="292" t="s">
        <v>14172</v>
      </c>
      <c r="D131" s="295">
        <v>1869</v>
      </c>
      <c r="F131" s="6" t="s">
        <v>14028</v>
      </c>
      <c r="G131" s="292"/>
      <c r="I131" s="292"/>
    </row>
    <row r="132" spans="1:9">
      <c r="A132" s="6" t="s">
        <v>840</v>
      </c>
      <c r="B132" s="6" t="s">
        <v>1004</v>
      </c>
      <c r="C132" s="292" t="s">
        <v>14173</v>
      </c>
      <c r="D132" s="295">
        <v>1701</v>
      </c>
      <c r="F132" s="6" t="s">
        <v>14028</v>
      </c>
      <c r="G132" s="292"/>
      <c r="I132" s="292"/>
    </row>
    <row r="133" spans="1:9">
      <c r="A133" s="6" t="s">
        <v>841</v>
      </c>
      <c r="B133" s="6" t="s">
        <v>14174</v>
      </c>
      <c r="C133" s="292" t="s">
        <v>14175</v>
      </c>
      <c r="D133" s="295">
        <v>3450</v>
      </c>
      <c r="F133" s="6" t="s">
        <v>14028</v>
      </c>
      <c r="G133" s="292"/>
      <c r="I133" s="292"/>
    </row>
    <row r="134" spans="1:9">
      <c r="A134" s="6" t="s">
        <v>878</v>
      </c>
      <c r="B134" s="6" t="s">
        <v>14176</v>
      </c>
      <c r="C134" s="292" t="s">
        <v>14177</v>
      </c>
      <c r="D134" s="295">
        <v>5029</v>
      </c>
      <c r="F134" s="6" t="s">
        <v>14028</v>
      </c>
      <c r="G134" s="292"/>
      <c r="I134" s="292"/>
    </row>
    <row r="135" spans="1:9">
      <c r="A135" s="6" t="s">
        <v>879</v>
      </c>
      <c r="B135" s="6" t="s">
        <v>1005</v>
      </c>
      <c r="C135" s="292" t="s">
        <v>14178</v>
      </c>
      <c r="D135" s="295">
        <v>1782</v>
      </c>
      <c r="F135" s="6" t="s">
        <v>14028</v>
      </c>
      <c r="G135" s="292"/>
      <c r="I135" s="292"/>
    </row>
    <row r="136" spans="1:9">
      <c r="A136" s="6" t="s">
        <v>880</v>
      </c>
      <c r="B136" s="6" t="s">
        <v>14179</v>
      </c>
      <c r="C136" s="292" t="s">
        <v>14180</v>
      </c>
      <c r="D136" s="295">
        <v>3444</v>
      </c>
      <c r="F136" s="6" t="s">
        <v>14028</v>
      </c>
      <c r="G136" s="292"/>
      <c r="I136" s="292"/>
    </row>
    <row r="137" spans="1:9">
      <c r="A137" s="6" t="s">
        <v>721</v>
      </c>
      <c r="B137" s="6" t="s">
        <v>14181</v>
      </c>
      <c r="C137" s="292" t="s">
        <v>14182</v>
      </c>
      <c r="D137" s="295">
        <v>1721</v>
      </c>
      <c r="F137" s="6" t="s">
        <v>14028</v>
      </c>
      <c r="G137" s="292"/>
      <c r="I137" s="292"/>
    </row>
    <row r="138" spans="1:9">
      <c r="A138" s="6" t="s">
        <v>722</v>
      </c>
      <c r="B138" s="6" t="s">
        <v>1006</v>
      </c>
      <c r="C138" s="292" t="s">
        <v>14183</v>
      </c>
      <c r="D138" s="295">
        <v>1451</v>
      </c>
      <c r="F138" s="6" t="s">
        <v>14028</v>
      </c>
      <c r="G138" s="292"/>
      <c r="I138" s="292"/>
    </row>
    <row r="139" spans="1:9">
      <c r="D139" s="767"/>
    </row>
    <row r="140" spans="1:9">
      <c r="A140" s="6" t="s">
        <v>14028</v>
      </c>
      <c r="D140" s="763">
        <f t="shared" ref="D140" si="15">SUM(D114:D138)</f>
        <v>68560</v>
      </c>
    </row>
    <row r="141" spans="1:9">
      <c r="A141" s="6"/>
      <c r="D141" s="763"/>
    </row>
    <row r="142" spans="1:9">
      <c r="A142" s="6" t="s">
        <v>14184</v>
      </c>
      <c r="D142" s="763"/>
    </row>
    <row r="143" spans="1:9">
      <c r="A143" s="6" t="s">
        <v>14185</v>
      </c>
      <c r="B143" s="6"/>
      <c r="D143" s="770"/>
    </row>
    <row r="144" spans="1:9">
      <c r="A144" s="6"/>
      <c r="B144" s="6"/>
      <c r="D144" s="770"/>
    </row>
    <row r="145" spans="1:9">
      <c r="A145" s="6"/>
      <c r="B145" s="6"/>
      <c r="D145" s="770"/>
    </row>
    <row r="146" spans="1:9">
      <c r="D146" s="10" t="s">
        <v>285</v>
      </c>
      <c r="F146" s="5" t="s">
        <v>4116</v>
      </c>
    </row>
    <row r="147" spans="1:9">
      <c r="D147" s="4">
        <v>2016</v>
      </c>
      <c r="F147" s="6" t="s">
        <v>286</v>
      </c>
    </row>
    <row r="148" spans="1:9">
      <c r="A148" s="6" t="s">
        <v>14186</v>
      </c>
      <c r="D148" s="763">
        <f t="shared" ref="D148" si="16">SUM(D149:D160)</f>
        <v>50332</v>
      </c>
    </row>
    <row r="149" spans="1:9">
      <c r="A149" s="6" t="s">
        <v>812</v>
      </c>
      <c r="B149" s="6" t="s">
        <v>14187</v>
      </c>
      <c r="C149" s="292" t="s">
        <v>14188</v>
      </c>
      <c r="D149" s="293">
        <v>1949</v>
      </c>
      <c r="F149" s="6" t="s">
        <v>14024</v>
      </c>
      <c r="G149" s="292"/>
      <c r="I149" s="292"/>
    </row>
    <row r="150" spans="1:9">
      <c r="A150" s="6" t="s">
        <v>813</v>
      </c>
      <c r="B150" s="6" t="s">
        <v>14189</v>
      </c>
      <c r="C150" s="292" t="s">
        <v>14190</v>
      </c>
      <c r="D150" s="293">
        <v>2858</v>
      </c>
      <c r="F150" s="6" t="s">
        <v>14024</v>
      </c>
      <c r="G150" s="292"/>
      <c r="I150" s="292"/>
    </row>
    <row r="151" spans="1:9">
      <c r="A151" s="6" t="s">
        <v>814</v>
      </c>
      <c r="B151" s="6" t="s">
        <v>14191</v>
      </c>
      <c r="C151" s="292" t="s">
        <v>14192</v>
      </c>
      <c r="D151" s="293">
        <v>3725</v>
      </c>
      <c r="F151" s="6" t="s">
        <v>14024</v>
      </c>
      <c r="G151" s="292"/>
      <c r="I151" s="292"/>
    </row>
    <row r="152" spans="1:9">
      <c r="A152" s="6" t="s">
        <v>815</v>
      </c>
      <c r="B152" s="6" t="s">
        <v>14193</v>
      </c>
      <c r="C152" s="292" t="s">
        <v>14194</v>
      </c>
      <c r="D152" s="293">
        <v>5540</v>
      </c>
      <c r="F152" s="6" t="s">
        <v>14024</v>
      </c>
      <c r="G152" s="292"/>
      <c r="I152" s="292"/>
    </row>
    <row r="153" spans="1:9">
      <c r="A153" s="6" t="s">
        <v>816</v>
      </c>
      <c r="B153" s="6" t="s">
        <v>14195</v>
      </c>
      <c r="C153" s="292" t="s">
        <v>14196</v>
      </c>
      <c r="D153" s="293">
        <v>5366</v>
      </c>
      <c r="F153" s="6" t="s">
        <v>14024</v>
      </c>
      <c r="G153" s="292"/>
      <c r="I153" s="292"/>
    </row>
    <row r="154" spans="1:9">
      <c r="A154" s="6" t="s">
        <v>826</v>
      </c>
      <c r="B154" s="6" t="s">
        <v>14197</v>
      </c>
      <c r="C154" s="292" t="s">
        <v>14198</v>
      </c>
      <c r="D154" s="293">
        <v>5686</v>
      </c>
      <c r="F154" s="6" t="s">
        <v>14024</v>
      </c>
      <c r="G154" s="292"/>
      <c r="I154" s="292"/>
    </row>
    <row r="155" spans="1:9">
      <c r="A155" s="6" t="s">
        <v>827</v>
      </c>
      <c r="B155" s="6" t="s">
        <v>14199</v>
      </c>
      <c r="C155" s="292" t="s">
        <v>14200</v>
      </c>
      <c r="D155" s="293">
        <v>5135</v>
      </c>
      <c r="F155" s="6" t="s">
        <v>14024</v>
      </c>
      <c r="G155" s="292"/>
      <c r="I155" s="292"/>
    </row>
    <row r="156" spans="1:9">
      <c r="A156" s="6" t="s">
        <v>828</v>
      </c>
      <c r="B156" s="6" t="s">
        <v>14201</v>
      </c>
      <c r="C156" s="292" t="s">
        <v>14202</v>
      </c>
      <c r="D156" s="293">
        <v>5840</v>
      </c>
      <c r="F156" s="6" t="s">
        <v>14024</v>
      </c>
      <c r="G156" s="292"/>
      <c r="I156" s="292"/>
    </row>
    <row r="157" spans="1:9">
      <c r="A157" s="6" t="s">
        <v>829</v>
      </c>
      <c r="B157" s="6" t="s">
        <v>14203</v>
      </c>
      <c r="C157" s="292" t="s">
        <v>14204</v>
      </c>
      <c r="D157" s="293">
        <v>3949</v>
      </c>
      <c r="F157" s="6" t="s">
        <v>14024</v>
      </c>
      <c r="G157" s="292"/>
      <c r="I157" s="292"/>
    </row>
    <row r="158" spans="1:9">
      <c r="A158" s="6" t="s">
        <v>830</v>
      </c>
      <c r="B158" s="6" t="s">
        <v>14205</v>
      </c>
      <c r="C158" s="292" t="s">
        <v>14206</v>
      </c>
      <c r="D158" s="293">
        <v>4788</v>
      </c>
      <c r="F158" s="6" t="s">
        <v>14024</v>
      </c>
      <c r="G158" s="292"/>
      <c r="I158" s="292"/>
    </row>
    <row r="159" spans="1:9">
      <c r="A159" s="6" t="s">
        <v>831</v>
      </c>
      <c r="B159" s="6" t="s">
        <v>14207</v>
      </c>
      <c r="C159" s="292" t="s">
        <v>14208</v>
      </c>
      <c r="D159" s="293">
        <v>3672</v>
      </c>
      <c r="F159" s="6" t="s">
        <v>14024</v>
      </c>
      <c r="G159" s="292"/>
      <c r="I159" s="292"/>
    </row>
    <row r="160" spans="1:9">
      <c r="A160" s="6" t="s">
        <v>832</v>
      </c>
      <c r="B160" s="6" t="s">
        <v>14209</v>
      </c>
      <c r="C160" s="292" t="s">
        <v>14210</v>
      </c>
      <c r="D160" s="293">
        <v>1824</v>
      </c>
      <c r="F160" s="6" t="s">
        <v>14024</v>
      </c>
      <c r="G160" s="292"/>
      <c r="I160" s="292"/>
    </row>
    <row r="161" spans="1:9">
      <c r="D161" s="767"/>
    </row>
    <row r="162" spans="1:9">
      <c r="A162" s="6" t="s">
        <v>14211</v>
      </c>
      <c r="D162" s="763">
        <f t="shared" ref="D162" si="17">SUM(D149:D160)</f>
        <v>50332</v>
      </c>
    </row>
    <row r="164" spans="1:9">
      <c r="A164" s="6" t="s">
        <v>14212</v>
      </c>
    </row>
    <row r="165" spans="1:9">
      <c r="A165" s="6"/>
    </row>
    <row r="166" spans="1:9">
      <c r="A166" s="6"/>
    </row>
    <row r="167" spans="1:9">
      <c r="D167" s="10" t="s">
        <v>285</v>
      </c>
      <c r="F167" s="5" t="s">
        <v>4116</v>
      </c>
    </row>
    <row r="168" spans="1:9">
      <c r="D168" s="4">
        <v>2016</v>
      </c>
      <c r="F168" s="6" t="s">
        <v>286</v>
      </c>
    </row>
    <row r="169" spans="1:9">
      <c r="A169" s="6" t="s">
        <v>14213</v>
      </c>
      <c r="D169" s="763">
        <f t="shared" ref="D169" si="18">SUM(D170:D197)</f>
        <v>118932</v>
      </c>
    </row>
    <row r="170" spans="1:9">
      <c r="A170" s="6" t="s">
        <v>812</v>
      </c>
      <c r="B170" s="6" t="s">
        <v>998</v>
      </c>
      <c r="C170" s="292" t="s">
        <v>14214</v>
      </c>
      <c r="D170" s="293">
        <v>6227</v>
      </c>
      <c r="F170" s="6" t="s">
        <v>14031</v>
      </c>
      <c r="G170" s="292"/>
      <c r="I170" s="292"/>
    </row>
    <row r="171" spans="1:9">
      <c r="A171" s="6" t="s">
        <v>813</v>
      </c>
      <c r="B171" s="6" t="s">
        <v>14215</v>
      </c>
      <c r="C171" s="292" t="s">
        <v>14216</v>
      </c>
      <c r="D171" s="293">
        <v>2149</v>
      </c>
      <c r="F171" s="6" t="s">
        <v>14031</v>
      </c>
      <c r="G171" s="292"/>
      <c r="I171" s="292"/>
    </row>
    <row r="172" spans="1:9">
      <c r="A172" s="6" t="s">
        <v>814</v>
      </c>
      <c r="B172" s="6" t="s">
        <v>14217</v>
      </c>
      <c r="C172" s="292" t="s">
        <v>14218</v>
      </c>
      <c r="D172" s="293">
        <v>3474</v>
      </c>
      <c r="F172" s="6" t="s">
        <v>14031</v>
      </c>
      <c r="G172" s="292"/>
      <c r="I172" s="292"/>
    </row>
    <row r="173" spans="1:9">
      <c r="A173" s="6" t="s">
        <v>815</v>
      </c>
      <c r="B173" s="6" t="s">
        <v>14219</v>
      </c>
      <c r="C173" s="292" t="s">
        <v>14220</v>
      </c>
      <c r="D173" s="293">
        <v>4076</v>
      </c>
      <c r="F173" s="6" t="s">
        <v>14024</v>
      </c>
      <c r="G173" s="292"/>
      <c r="I173" s="292"/>
    </row>
    <row r="174" spans="1:9">
      <c r="A174" s="6" t="s">
        <v>816</v>
      </c>
      <c r="B174" s="6" t="s">
        <v>14221</v>
      </c>
      <c r="C174" s="292" t="s">
        <v>14222</v>
      </c>
      <c r="D174" s="293">
        <v>3477</v>
      </c>
      <c r="F174" s="6" t="s">
        <v>14031</v>
      </c>
      <c r="G174" s="292"/>
      <c r="I174" s="292"/>
    </row>
    <row r="175" spans="1:9">
      <c r="A175" s="6" t="s">
        <v>826</v>
      </c>
      <c r="B175" s="6" t="s">
        <v>14223</v>
      </c>
      <c r="C175" s="292" t="s">
        <v>14224</v>
      </c>
      <c r="D175" s="293">
        <v>3995</v>
      </c>
      <c r="F175" s="6" t="s">
        <v>14031</v>
      </c>
      <c r="G175" s="292"/>
      <c r="I175" s="292"/>
    </row>
    <row r="176" spans="1:9">
      <c r="A176" s="6" t="s">
        <v>827</v>
      </c>
      <c r="B176" s="6" t="s">
        <v>14225</v>
      </c>
      <c r="C176" s="292" t="s">
        <v>14226</v>
      </c>
      <c r="D176" s="295">
        <v>3839</v>
      </c>
      <c r="F176" s="6" t="s">
        <v>14031</v>
      </c>
      <c r="G176" s="292"/>
      <c r="I176" s="292"/>
    </row>
    <row r="177" spans="1:9">
      <c r="A177" s="6" t="s">
        <v>828</v>
      </c>
      <c r="B177" s="6" t="s">
        <v>14227</v>
      </c>
      <c r="C177" s="292" t="s">
        <v>14228</v>
      </c>
      <c r="D177" s="295">
        <v>3654</v>
      </c>
      <c r="F177" s="6" t="s">
        <v>14031</v>
      </c>
      <c r="G177" s="292"/>
      <c r="I177" s="292"/>
    </row>
    <row r="178" spans="1:9">
      <c r="A178" s="6" t="s">
        <v>829</v>
      </c>
      <c r="B178" s="6" t="s">
        <v>14229</v>
      </c>
      <c r="C178" s="292" t="s">
        <v>14230</v>
      </c>
      <c r="D178" s="293">
        <v>5643</v>
      </c>
      <c r="F178" s="6" t="s">
        <v>14024</v>
      </c>
      <c r="G178" s="292"/>
      <c r="I178" s="292"/>
    </row>
    <row r="179" spans="1:9">
      <c r="A179" s="6" t="s">
        <v>830</v>
      </c>
      <c r="B179" s="6" t="s">
        <v>14231</v>
      </c>
      <c r="C179" s="292" t="s">
        <v>14232</v>
      </c>
      <c r="D179" s="293">
        <v>6486</v>
      </c>
      <c r="F179" s="6" t="s">
        <v>14028</v>
      </c>
      <c r="G179" s="292"/>
      <c r="I179" s="292"/>
    </row>
    <row r="180" spans="1:9">
      <c r="A180" s="6" t="s">
        <v>831</v>
      </c>
      <c r="B180" s="6" t="s">
        <v>14233</v>
      </c>
      <c r="C180" s="292" t="s">
        <v>14234</v>
      </c>
      <c r="D180" s="295">
        <v>3770</v>
      </c>
      <c r="F180" s="6" t="s">
        <v>14031</v>
      </c>
      <c r="G180" s="292"/>
      <c r="I180" s="292"/>
    </row>
    <row r="181" spans="1:9">
      <c r="A181" s="6" t="s">
        <v>832</v>
      </c>
      <c r="B181" s="6" t="s">
        <v>14235</v>
      </c>
      <c r="C181" s="292" t="s">
        <v>14236</v>
      </c>
      <c r="D181" s="295">
        <v>1891</v>
      </c>
      <c r="F181" s="6" t="s">
        <v>14031</v>
      </c>
      <c r="G181" s="292"/>
      <c r="I181" s="292"/>
    </row>
    <row r="182" spans="1:9">
      <c r="A182" s="6" t="s">
        <v>833</v>
      </c>
      <c r="B182" s="6" t="s">
        <v>14237</v>
      </c>
      <c r="C182" s="292" t="s">
        <v>14238</v>
      </c>
      <c r="D182" s="295">
        <v>3712</v>
      </c>
      <c r="F182" s="6" t="s">
        <v>14031</v>
      </c>
      <c r="G182" s="292"/>
      <c r="I182" s="292"/>
    </row>
    <row r="183" spans="1:9">
      <c r="A183" s="6" t="s">
        <v>834</v>
      </c>
      <c r="B183" s="6" t="s">
        <v>14239</v>
      </c>
      <c r="C183" s="292" t="s">
        <v>14240</v>
      </c>
      <c r="D183" s="295">
        <v>3439</v>
      </c>
      <c r="F183" s="6" t="s">
        <v>14031</v>
      </c>
      <c r="G183" s="292"/>
      <c r="I183" s="292"/>
    </row>
    <row r="184" spans="1:9">
      <c r="A184" s="6" t="s">
        <v>835</v>
      </c>
      <c r="B184" s="6" t="s">
        <v>6970</v>
      </c>
      <c r="C184" s="292" t="s">
        <v>14241</v>
      </c>
      <c r="D184" s="293">
        <v>2459</v>
      </c>
      <c r="F184" s="6" t="s">
        <v>14026</v>
      </c>
      <c r="G184" s="292"/>
      <c r="I184" s="292"/>
    </row>
    <row r="185" spans="1:9">
      <c r="A185" s="6" t="s">
        <v>836</v>
      </c>
      <c r="B185" s="6" t="s">
        <v>14242</v>
      </c>
      <c r="C185" s="292" t="s">
        <v>14243</v>
      </c>
      <c r="D185" s="293">
        <v>2043</v>
      </c>
      <c r="F185" s="6" t="s">
        <v>14028</v>
      </c>
      <c r="G185" s="292"/>
      <c r="I185" s="292"/>
    </row>
    <row r="186" spans="1:9">
      <c r="A186" s="6" t="s">
        <v>837</v>
      </c>
      <c r="B186" s="6" t="s">
        <v>14244</v>
      </c>
      <c r="C186" s="292" t="s">
        <v>14245</v>
      </c>
      <c r="D186" s="293">
        <v>6392</v>
      </c>
      <c r="F186" s="6" t="s">
        <v>14024</v>
      </c>
      <c r="G186" s="292"/>
      <c r="I186" s="292"/>
    </row>
    <row r="187" spans="1:9">
      <c r="A187" s="6" t="s">
        <v>838</v>
      </c>
      <c r="B187" s="6" t="s">
        <v>14246</v>
      </c>
      <c r="C187" s="292" t="s">
        <v>14247</v>
      </c>
      <c r="D187" s="293">
        <v>3891</v>
      </c>
      <c r="F187" s="6" t="s">
        <v>14024</v>
      </c>
      <c r="G187" s="292"/>
      <c r="I187" s="292"/>
    </row>
    <row r="188" spans="1:9">
      <c r="A188" s="6" t="s">
        <v>840</v>
      </c>
      <c r="B188" s="6" t="s">
        <v>14248</v>
      </c>
      <c r="C188" s="292" t="s">
        <v>14249</v>
      </c>
      <c r="D188" s="295">
        <v>3493</v>
      </c>
      <c r="F188" s="6" t="s">
        <v>14031</v>
      </c>
      <c r="G188" s="292"/>
      <c r="I188" s="292"/>
    </row>
    <row r="189" spans="1:9">
      <c r="A189" s="6" t="s">
        <v>841</v>
      </c>
      <c r="B189" s="6" t="s">
        <v>14250</v>
      </c>
      <c r="C189" s="292" t="s">
        <v>14251</v>
      </c>
      <c r="D189" s="295">
        <v>5213</v>
      </c>
      <c r="F189" s="6" t="s">
        <v>14031</v>
      </c>
      <c r="G189" s="292"/>
      <c r="I189" s="292"/>
    </row>
    <row r="190" spans="1:9">
      <c r="A190" s="6" t="s">
        <v>878</v>
      </c>
      <c r="B190" s="6" t="s">
        <v>14252</v>
      </c>
      <c r="C190" s="292" t="s">
        <v>14253</v>
      </c>
      <c r="D190" s="295">
        <v>4719</v>
      </c>
      <c r="F190" s="6" t="s">
        <v>14031</v>
      </c>
      <c r="G190" s="292"/>
      <c r="I190" s="292"/>
    </row>
    <row r="191" spans="1:9">
      <c r="A191" s="6" t="s">
        <v>879</v>
      </c>
      <c r="B191" s="6" t="s">
        <v>14254</v>
      </c>
      <c r="C191" s="292" t="s">
        <v>14255</v>
      </c>
      <c r="D191" s="295">
        <v>4119</v>
      </c>
      <c r="F191" s="6" t="s">
        <v>14031</v>
      </c>
      <c r="G191" s="292"/>
      <c r="I191" s="292"/>
    </row>
    <row r="192" spans="1:9">
      <c r="A192" s="6" t="s">
        <v>880</v>
      </c>
      <c r="B192" s="6" t="s">
        <v>14256</v>
      </c>
      <c r="C192" s="292" t="s">
        <v>14257</v>
      </c>
      <c r="D192" s="293">
        <v>4137</v>
      </c>
      <c r="F192" s="6" t="s">
        <v>14031</v>
      </c>
      <c r="G192" s="292"/>
      <c r="I192" s="292"/>
    </row>
    <row r="193" spans="1:9">
      <c r="A193" s="6" t="s">
        <v>721</v>
      </c>
      <c r="B193" s="6" t="s">
        <v>14258</v>
      </c>
      <c r="C193" s="292" t="s">
        <v>14259</v>
      </c>
      <c r="D193" s="295">
        <v>6081</v>
      </c>
      <c r="F193" s="6" t="s">
        <v>14031</v>
      </c>
      <c r="G193" s="292"/>
      <c r="I193" s="292"/>
    </row>
    <row r="194" spans="1:9">
      <c r="A194" s="6" t="s">
        <v>722</v>
      </c>
      <c r="B194" s="6" t="s">
        <v>9254</v>
      </c>
      <c r="C194" s="292" t="s">
        <v>14260</v>
      </c>
      <c r="D194" s="293">
        <v>4290</v>
      </c>
      <c r="F194" s="6" t="s">
        <v>14031</v>
      </c>
      <c r="G194" s="292"/>
      <c r="I194" s="292"/>
    </row>
    <row r="195" spans="1:9">
      <c r="A195" s="6" t="s">
        <v>723</v>
      </c>
      <c r="B195" s="6" t="s">
        <v>14261</v>
      </c>
      <c r="C195" s="292" t="s">
        <v>14262</v>
      </c>
      <c r="D195" s="293">
        <v>6294</v>
      </c>
      <c r="F195" s="6" t="s">
        <v>14026</v>
      </c>
      <c r="G195" s="292"/>
      <c r="I195" s="292"/>
    </row>
    <row r="196" spans="1:9">
      <c r="A196" s="6" t="s">
        <v>733</v>
      </c>
      <c r="B196" s="6" t="s">
        <v>14263</v>
      </c>
      <c r="C196" s="292" t="s">
        <v>14264</v>
      </c>
      <c r="D196" s="295">
        <v>3650</v>
      </c>
      <c r="F196" s="6" t="s">
        <v>14024</v>
      </c>
      <c r="G196" s="292"/>
      <c r="I196" s="292"/>
    </row>
    <row r="197" spans="1:9">
      <c r="A197" s="6" t="s">
        <v>734</v>
      </c>
      <c r="B197" s="6" t="s">
        <v>14265</v>
      </c>
      <c r="C197" s="292" t="s">
        <v>14266</v>
      </c>
      <c r="D197" s="295">
        <v>6319</v>
      </c>
      <c r="F197" s="6" t="s">
        <v>14031</v>
      </c>
      <c r="G197" s="292"/>
      <c r="I197" s="292"/>
    </row>
    <row r="199" spans="1:9">
      <c r="A199" s="6" t="s">
        <v>14211</v>
      </c>
      <c r="D199" s="763">
        <f t="shared" ref="D199" si="19">D173+D178+D186+D187+D196</f>
        <v>23652</v>
      </c>
    </row>
    <row r="200" spans="1:9">
      <c r="A200" s="6" t="s">
        <v>14069</v>
      </c>
      <c r="D200" s="763">
        <f t="shared" ref="D200" si="20">D184+D195</f>
        <v>8753</v>
      </c>
    </row>
    <row r="201" spans="1:9">
      <c r="A201" s="6" t="s">
        <v>14267</v>
      </c>
      <c r="D201" s="763">
        <f>D179+D185</f>
        <v>8529</v>
      </c>
    </row>
    <row r="202" spans="1:9">
      <c r="A202" s="6" t="s">
        <v>14031</v>
      </c>
      <c r="D202" s="763">
        <f>SUM(D170:D172)+SUM(D174:D177)+SUM(D180:D183)+SUM(D188:D194)+D197</f>
        <v>77998</v>
      </c>
    </row>
    <row r="204" spans="1:9">
      <c r="A204" s="5" t="s">
        <v>14268</v>
      </c>
    </row>
  </sheetData>
  <printOptions gridLinesSet="0"/>
  <pageMargins left="0.78740157480314965" right="0" top="0.51181102362204722" bottom="0.51181102362204722" header="0.51181102362204722" footer="0.51181102362204722"/>
  <pageSetup paperSize="9" scale="62" orientation="portrait" horizontalDpi="300" verticalDpi="300" r:id="rId1"/>
  <headerFooter alignWithMargins="0">
    <oddFooter>&amp;C&amp;"Times New Roman,Regular"&amp;8&amp;P of &amp;N</oddFooter>
  </headerFooter>
  <rowBreaks count="4" manualBreakCount="4">
    <brk id="67" max="16383" man="1"/>
    <brk id="110" max="16383" man="1"/>
    <brk id="145" max="16383" man="1"/>
    <brk id="166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60"/>
  <sheetViews>
    <sheetView showGridLines="0" zoomScaleNormal="100" workbookViewId="0"/>
  </sheetViews>
  <sheetFormatPr defaultColWidth="12.59765625" defaultRowHeight="14.5"/>
  <cols>
    <col min="1" max="1" width="4.8984375" style="339" customWidth="1"/>
    <col min="2" max="2" width="37.69921875" style="339" customWidth="1"/>
    <col min="3" max="3" width="11.59765625" style="339" customWidth="1"/>
    <col min="4" max="4" width="10" style="339" customWidth="1"/>
    <col min="5" max="5" width="2.296875" style="339" customWidth="1"/>
    <col min="6" max="6" width="44.09765625" style="339" customWidth="1"/>
    <col min="7" max="16384" width="12.59765625" style="339"/>
  </cols>
  <sheetData>
    <row r="1" spans="1:6">
      <c r="A1" s="338" t="s">
        <v>1075</v>
      </c>
      <c r="D1" s="340">
        <v>2016</v>
      </c>
    </row>
    <row r="3" spans="1:6">
      <c r="A3" s="338" t="s">
        <v>6993</v>
      </c>
      <c r="C3" s="338"/>
      <c r="D3" s="341">
        <f t="shared" ref="D3" si="0">SUM(D7:D11)</f>
        <v>437043</v>
      </c>
    </row>
    <row r="4" spans="1:6" ht="15" thickBot="1">
      <c r="A4" s="338" t="s">
        <v>6994</v>
      </c>
      <c r="C4" s="338"/>
      <c r="D4" s="342">
        <f t="shared" ref="D4" si="1">D55</f>
        <v>117844</v>
      </c>
    </row>
    <row r="5" spans="1:6" ht="15" thickBot="1">
      <c r="D5" s="342">
        <f t="shared" ref="D5" si="2">D3+D4</f>
        <v>554887</v>
      </c>
    </row>
    <row r="6" spans="1:6">
      <c r="D6" s="341"/>
    </row>
    <row r="7" spans="1:6">
      <c r="A7" s="338" t="s">
        <v>6995</v>
      </c>
      <c r="C7" s="338"/>
      <c r="D7" s="341">
        <f t="shared" ref="D7" si="3">D90</f>
        <v>72757</v>
      </c>
      <c r="F7" s="343"/>
    </row>
    <row r="8" spans="1:6">
      <c r="A8" s="338" t="s">
        <v>6996</v>
      </c>
      <c r="C8" s="338"/>
      <c r="D8" s="341">
        <f t="shared" ref="D8" si="4">D113</f>
        <v>60605</v>
      </c>
      <c r="F8" s="343"/>
    </row>
    <row r="9" spans="1:6">
      <c r="A9" s="338" t="s">
        <v>6997</v>
      </c>
      <c r="C9" s="338"/>
      <c r="D9" s="341">
        <f t="shared" ref="D9" si="5">D143</f>
        <v>69319</v>
      </c>
      <c r="F9" s="343"/>
    </row>
    <row r="10" spans="1:6" s="2" customFormat="1">
      <c r="A10" s="338" t="s">
        <v>6998</v>
      </c>
      <c r="C10" s="338"/>
      <c r="D10" s="341">
        <f t="shared" ref="D10" si="6">D176</f>
        <v>124073</v>
      </c>
      <c r="F10" s="343"/>
    </row>
    <row r="11" spans="1:6">
      <c r="A11" s="338" t="s">
        <v>6999</v>
      </c>
      <c r="C11" s="338"/>
      <c r="D11" s="341">
        <f t="shared" ref="D11" si="7">D218</f>
        <v>110289</v>
      </c>
      <c r="F11" s="343"/>
    </row>
    <row r="13" spans="1:6">
      <c r="A13" s="338" t="s">
        <v>7000</v>
      </c>
      <c r="D13" s="341">
        <f t="shared" ref="D13" si="8">D106</f>
        <v>72757</v>
      </c>
      <c r="F13" s="338" t="s">
        <v>7001</v>
      </c>
    </row>
    <row r="14" spans="1:6" ht="15" thickBot="1">
      <c r="A14" s="338"/>
      <c r="D14" s="342">
        <f>D254</f>
        <v>3022</v>
      </c>
      <c r="F14" s="338" t="s">
        <v>7002</v>
      </c>
    </row>
    <row r="15" spans="1:6" ht="15" thickBot="1">
      <c r="A15" s="338"/>
      <c r="D15" s="342">
        <f t="shared" ref="D15" si="9">SUM(D13:D14)</f>
        <v>75779</v>
      </c>
      <c r="F15" s="338"/>
    </row>
    <row r="16" spans="1:6">
      <c r="D16" s="344"/>
    </row>
    <row r="17" spans="1:6">
      <c r="A17" s="338" t="s">
        <v>7003</v>
      </c>
      <c r="D17" s="341">
        <f t="shared" ref="D17" si="10">D207</f>
        <v>77715</v>
      </c>
      <c r="F17" s="338" t="s">
        <v>7004</v>
      </c>
    </row>
    <row r="18" spans="1:6">
      <c r="D18" s="344"/>
    </row>
    <row r="19" spans="1:6">
      <c r="A19" s="338" t="s">
        <v>7005</v>
      </c>
      <c r="D19" s="341">
        <f t="shared" ref="D19" si="11">D134</f>
        <v>6408</v>
      </c>
      <c r="F19" s="338" t="s">
        <v>7006</v>
      </c>
    </row>
    <row r="20" spans="1:6" ht="15" thickBot="1">
      <c r="D20" s="342">
        <f t="shared" ref="D20" si="12">SUM(D169)</f>
        <v>69319</v>
      </c>
      <c r="F20" s="338" t="s">
        <v>6769</v>
      </c>
    </row>
    <row r="21" spans="1:6" ht="15" thickBot="1">
      <c r="D21" s="342">
        <f t="shared" ref="D21" si="13">SUM(D19:D20)</f>
        <v>75727</v>
      </c>
    </row>
    <row r="22" spans="1:6">
      <c r="D22" s="344"/>
    </row>
    <row r="23" spans="1:6">
      <c r="A23" s="339" t="s">
        <v>7007</v>
      </c>
      <c r="D23" s="344">
        <f>HERTFORDSHIRE!D35</f>
        <v>14346</v>
      </c>
      <c r="F23" s="18" t="s">
        <v>7008</v>
      </c>
    </row>
    <row r="24" spans="1:6">
      <c r="D24" s="344">
        <f>HERTFORDSHIRE!D36</f>
        <v>50681</v>
      </c>
      <c r="F24" s="18" t="s">
        <v>7009</v>
      </c>
    </row>
    <row r="25" spans="1:6" ht="15" thickBot="1">
      <c r="D25" s="345">
        <f>D255</f>
        <v>9422</v>
      </c>
      <c r="F25" s="338" t="s">
        <v>7002</v>
      </c>
    </row>
    <row r="26" spans="1:6" ht="15" thickBot="1">
      <c r="D26" s="342">
        <f>SUM(D23:D25)</f>
        <v>74449</v>
      </c>
      <c r="F26" s="338"/>
    </row>
    <row r="27" spans="1:6">
      <c r="D27" s="344"/>
    </row>
    <row r="28" spans="1:6">
      <c r="A28" s="338" t="s">
        <v>7010</v>
      </c>
      <c r="D28" s="341">
        <f t="shared" ref="D28" si="14">D208</f>
        <v>38042</v>
      </c>
      <c r="F28" s="338" t="s">
        <v>7004</v>
      </c>
    </row>
    <row r="29" spans="1:6" ht="15" thickBot="1">
      <c r="D29" s="342">
        <f t="shared" ref="D29" si="15">D81</f>
        <v>40237</v>
      </c>
      <c r="F29" s="338" t="s">
        <v>7011</v>
      </c>
    </row>
    <row r="30" spans="1:6" ht="15" thickBot="1">
      <c r="D30" s="342">
        <f t="shared" ref="D30" si="16">D28+D29</f>
        <v>78279</v>
      </c>
    </row>
    <row r="31" spans="1:6">
      <c r="D31" s="344"/>
    </row>
    <row r="32" spans="1:6">
      <c r="A32" s="338" t="s">
        <v>7012</v>
      </c>
      <c r="D32" s="341">
        <f t="shared" ref="D32" si="17">D82</f>
        <v>77607</v>
      </c>
      <c r="F32" s="338" t="s">
        <v>7011</v>
      </c>
    </row>
    <row r="33" spans="1:6">
      <c r="D33" s="344"/>
    </row>
    <row r="34" spans="1:6">
      <c r="A34" s="338" t="s">
        <v>7013</v>
      </c>
      <c r="D34" s="344">
        <f>D209</f>
        <v>3593</v>
      </c>
      <c r="F34" s="338" t="s">
        <v>7004</v>
      </c>
    </row>
    <row r="35" spans="1:6" ht="15" thickBot="1">
      <c r="D35" s="342">
        <f t="shared" ref="D35" si="18">D256</f>
        <v>73695</v>
      </c>
      <c r="F35" s="338" t="s">
        <v>7002</v>
      </c>
    </row>
    <row r="36" spans="1:6" ht="15" thickBot="1">
      <c r="A36" s="338"/>
      <c r="D36" s="342">
        <f t="shared" ref="D36" si="19">D34+D35</f>
        <v>77288</v>
      </c>
      <c r="F36" s="338"/>
    </row>
    <row r="37" spans="1:6">
      <c r="D37" s="346"/>
    </row>
    <row r="38" spans="1:6">
      <c r="A38" s="338" t="s">
        <v>7014</v>
      </c>
      <c r="D38" s="341">
        <f t="shared" ref="D38" si="20">D135</f>
        <v>48145</v>
      </c>
      <c r="F38" s="338" t="s">
        <v>7006</v>
      </c>
    </row>
    <row r="39" spans="1:6">
      <c r="A39" s="338"/>
      <c r="D39" s="341">
        <f>D210</f>
        <v>4723</v>
      </c>
      <c r="F39" s="338" t="s">
        <v>7004</v>
      </c>
    </row>
    <row r="40" spans="1:6" ht="15" thickBot="1">
      <c r="D40" s="342">
        <f t="shared" ref="D40" si="21">D257</f>
        <v>24150</v>
      </c>
      <c r="F40" s="338" t="s">
        <v>7002</v>
      </c>
    </row>
    <row r="41" spans="1:6" ht="15" thickBot="1">
      <c r="D41" s="342">
        <f>SUM(D38:D40)</f>
        <v>77018</v>
      </c>
    </row>
    <row r="42" spans="1:6">
      <c r="D42" s="346"/>
    </row>
    <row r="43" spans="1:6">
      <c r="A43" s="268" t="s">
        <v>7015</v>
      </c>
      <c r="D43" s="346">
        <f>NORFOLK!D42</f>
        <v>27032</v>
      </c>
      <c r="F43" s="268" t="s">
        <v>7016</v>
      </c>
    </row>
    <row r="44" spans="1:6">
      <c r="D44" s="346">
        <f>D136</f>
        <v>6052</v>
      </c>
      <c r="F44" s="338" t="s">
        <v>7006</v>
      </c>
    </row>
    <row r="45" spans="1:6" ht="15" thickBot="1">
      <c r="D45" s="342">
        <f>NORFOLK!D44</f>
        <v>38140</v>
      </c>
      <c r="F45" s="268" t="s">
        <v>7017</v>
      </c>
    </row>
    <row r="46" spans="1:6" ht="15" thickBot="1">
      <c r="D46" s="347">
        <f>SUM(D43:D45)</f>
        <v>71224</v>
      </c>
    </row>
    <row r="47" spans="1:6">
      <c r="D47" s="344"/>
    </row>
    <row r="48" spans="1:6">
      <c r="A48" s="338" t="s">
        <v>1041</v>
      </c>
      <c r="D48" s="341">
        <f>D15+D17+D21+D25+D30+D32+D36+D41+D44</f>
        <v>554887</v>
      </c>
    </row>
    <row r="49" spans="1:6">
      <c r="D49" s="344"/>
    </row>
    <row r="50" spans="1:6">
      <c r="A50" s="339" t="s">
        <v>7018</v>
      </c>
    </row>
    <row r="53" spans="1:6">
      <c r="D53" s="10" t="s">
        <v>285</v>
      </c>
      <c r="E53" s="5"/>
      <c r="F53" s="5" t="s">
        <v>4116</v>
      </c>
    </row>
    <row r="54" spans="1:6">
      <c r="D54" s="4">
        <v>2016</v>
      </c>
      <c r="F54" s="6" t="s">
        <v>286</v>
      </c>
    </row>
    <row r="55" spans="1:6">
      <c r="A55" s="338" t="s">
        <v>6994</v>
      </c>
      <c r="C55" s="338"/>
      <c r="D55" s="341">
        <f>SUM(D56:D79)</f>
        <v>117844</v>
      </c>
    </row>
    <row r="56" spans="1:6">
      <c r="A56" s="338" t="s">
        <v>812</v>
      </c>
      <c r="B56" s="338" t="s">
        <v>7019</v>
      </c>
      <c r="C56" s="1" t="s">
        <v>7020</v>
      </c>
      <c r="D56" s="7">
        <v>2471</v>
      </c>
      <c r="F56" s="338" t="s">
        <v>7010</v>
      </c>
    </row>
    <row r="57" spans="1:6">
      <c r="A57" s="338" t="s">
        <v>813</v>
      </c>
      <c r="B57" s="338" t="s">
        <v>7021</v>
      </c>
      <c r="C57" s="1" t="s">
        <v>7022</v>
      </c>
      <c r="D57" s="7">
        <v>5782</v>
      </c>
      <c r="F57" s="338" t="s">
        <v>7012</v>
      </c>
    </row>
    <row r="58" spans="1:6">
      <c r="A58" s="338" t="s">
        <v>814</v>
      </c>
      <c r="B58" s="338" t="s">
        <v>7023</v>
      </c>
      <c r="C58" s="1" t="s">
        <v>7024</v>
      </c>
      <c r="D58" s="7">
        <v>2032</v>
      </c>
      <c r="F58" s="338" t="s">
        <v>7012</v>
      </c>
    </row>
    <row r="59" spans="1:6">
      <c r="A59" s="338" t="s">
        <v>815</v>
      </c>
      <c r="B59" s="338" t="s">
        <v>888</v>
      </c>
      <c r="C59" s="1" t="s">
        <v>7025</v>
      </c>
      <c r="D59" s="7">
        <v>5376</v>
      </c>
      <c r="F59" s="338" t="s">
        <v>7012</v>
      </c>
    </row>
    <row r="60" spans="1:6">
      <c r="A60" s="338" t="s">
        <v>816</v>
      </c>
      <c r="B60" s="338" t="s">
        <v>7026</v>
      </c>
      <c r="C60" s="1" t="s">
        <v>7027</v>
      </c>
      <c r="D60" s="7">
        <v>5440</v>
      </c>
      <c r="F60" s="338" t="s">
        <v>7012</v>
      </c>
    </row>
    <row r="61" spans="1:6">
      <c r="A61" s="338" t="s">
        <v>826</v>
      </c>
      <c r="B61" s="338" t="s">
        <v>7028</v>
      </c>
      <c r="C61" s="1" t="s">
        <v>7029</v>
      </c>
      <c r="D61" s="7">
        <v>5847</v>
      </c>
      <c r="F61" s="338" t="s">
        <v>7012</v>
      </c>
    </row>
    <row r="62" spans="1:6">
      <c r="A62" s="338" t="s">
        <v>827</v>
      </c>
      <c r="B62" s="338" t="s">
        <v>7030</v>
      </c>
      <c r="C62" s="1" t="s">
        <v>7031</v>
      </c>
      <c r="D62" s="7">
        <v>4825</v>
      </c>
      <c r="F62" s="338" t="s">
        <v>7012</v>
      </c>
    </row>
    <row r="63" spans="1:6">
      <c r="A63" s="338" t="s">
        <v>828</v>
      </c>
      <c r="B63" s="338" t="s">
        <v>7032</v>
      </c>
      <c r="C63" s="1" t="s">
        <v>7033</v>
      </c>
      <c r="D63" s="7">
        <v>6984</v>
      </c>
      <c r="F63" s="338" t="s">
        <v>7012</v>
      </c>
    </row>
    <row r="64" spans="1:6">
      <c r="A64" s="338" t="s">
        <v>829</v>
      </c>
      <c r="B64" s="338" t="s">
        <v>7034</v>
      </c>
      <c r="C64" s="1" t="s">
        <v>7035</v>
      </c>
      <c r="D64" s="7">
        <v>4901</v>
      </c>
      <c r="F64" s="338" t="s">
        <v>7010</v>
      </c>
    </row>
    <row r="65" spans="1:6">
      <c r="A65" s="338" t="s">
        <v>830</v>
      </c>
      <c r="B65" s="338" t="s">
        <v>7036</v>
      </c>
      <c r="C65" s="1" t="s">
        <v>7037</v>
      </c>
      <c r="D65" s="8">
        <v>2165</v>
      </c>
      <c r="F65" s="338" t="s">
        <v>7012</v>
      </c>
    </row>
    <row r="66" spans="1:6">
      <c r="A66" s="338" t="s">
        <v>831</v>
      </c>
      <c r="B66" s="338" t="s">
        <v>7038</v>
      </c>
      <c r="C66" s="1" t="s">
        <v>7039</v>
      </c>
      <c r="D66" s="8">
        <v>3163</v>
      </c>
      <c r="F66" s="338" t="s">
        <v>7012</v>
      </c>
    </row>
    <row r="67" spans="1:6">
      <c r="A67" s="338" t="s">
        <v>832</v>
      </c>
      <c r="B67" s="338" t="s">
        <v>7040</v>
      </c>
      <c r="C67" s="1" t="s">
        <v>7041</v>
      </c>
      <c r="D67" s="7">
        <v>2198</v>
      </c>
      <c r="F67" s="338" t="s">
        <v>7010</v>
      </c>
    </row>
    <row r="68" spans="1:6">
      <c r="A68" s="338" t="s">
        <v>833</v>
      </c>
      <c r="B68" s="338" t="s">
        <v>7042</v>
      </c>
      <c r="C68" s="1" t="s">
        <v>7043</v>
      </c>
      <c r="D68" s="7">
        <v>6180</v>
      </c>
      <c r="F68" s="338" t="s">
        <v>7010</v>
      </c>
    </row>
    <row r="69" spans="1:6">
      <c r="A69" s="338" t="s">
        <v>834</v>
      </c>
      <c r="B69" s="338" t="s">
        <v>7044</v>
      </c>
      <c r="C69" s="1" t="s">
        <v>7045</v>
      </c>
      <c r="D69" s="7">
        <v>6321</v>
      </c>
      <c r="F69" s="338" t="s">
        <v>7010</v>
      </c>
    </row>
    <row r="70" spans="1:6">
      <c r="A70" s="338" t="s">
        <v>835</v>
      </c>
      <c r="B70" s="338" t="s">
        <v>7046</v>
      </c>
      <c r="C70" s="1" t="s">
        <v>7047</v>
      </c>
      <c r="D70" s="7">
        <v>8971</v>
      </c>
      <c r="F70" s="338" t="s">
        <v>7010</v>
      </c>
    </row>
    <row r="71" spans="1:6">
      <c r="A71" s="338" t="s">
        <v>836</v>
      </c>
      <c r="B71" s="338" t="s">
        <v>303</v>
      </c>
      <c r="C71" s="1" t="s">
        <v>7048</v>
      </c>
      <c r="D71" s="8">
        <v>5367</v>
      </c>
      <c r="F71" s="338" t="s">
        <v>7012</v>
      </c>
    </row>
    <row r="72" spans="1:6">
      <c r="A72" s="338" t="s">
        <v>837</v>
      </c>
      <c r="B72" s="338" t="s">
        <v>7049</v>
      </c>
      <c r="C72" s="1" t="s">
        <v>7050</v>
      </c>
      <c r="D72" s="8">
        <v>5522</v>
      </c>
      <c r="F72" s="338" t="s">
        <v>7012</v>
      </c>
    </row>
    <row r="73" spans="1:6">
      <c r="A73" s="338" t="s">
        <v>838</v>
      </c>
      <c r="B73" s="338" t="s">
        <v>5341</v>
      </c>
      <c r="C73" s="1" t="s">
        <v>7051</v>
      </c>
      <c r="D73" s="8">
        <v>4055</v>
      </c>
      <c r="F73" s="338" t="s">
        <v>7012</v>
      </c>
    </row>
    <row r="74" spans="1:6">
      <c r="A74" s="338" t="s">
        <v>840</v>
      </c>
      <c r="B74" s="338" t="s">
        <v>7052</v>
      </c>
      <c r="C74" s="1" t="s">
        <v>7053</v>
      </c>
      <c r="D74" s="7">
        <v>7057</v>
      </c>
      <c r="F74" s="338" t="s">
        <v>7010</v>
      </c>
    </row>
    <row r="75" spans="1:6">
      <c r="A75" s="338" t="s">
        <v>841</v>
      </c>
      <c r="B75" s="338" t="s">
        <v>7054</v>
      </c>
      <c r="C75" s="1" t="s">
        <v>7055</v>
      </c>
      <c r="D75" s="7">
        <v>2138</v>
      </c>
      <c r="F75" s="338" t="s">
        <v>7010</v>
      </c>
    </row>
    <row r="76" spans="1:6">
      <c r="A76" s="338" t="s">
        <v>878</v>
      </c>
      <c r="B76" s="338" t="s">
        <v>3066</v>
      </c>
      <c r="C76" s="1" t="s">
        <v>7056</v>
      </c>
      <c r="D76" s="8">
        <v>4062</v>
      </c>
      <c r="F76" s="338" t="s">
        <v>7012</v>
      </c>
    </row>
    <row r="77" spans="1:6">
      <c r="A77" s="338" t="s">
        <v>879</v>
      </c>
      <c r="B77" s="338" t="s">
        <v>7057</v>
      </c>
      <c r="C77" s="1" t="s">
        <v>7058</v>
      </c>
      <c r="D77" s="8">
        <v>5494</v>
      </c>
      <c r="F77" s="338" t="s">
        <v>7012</v>
      </c>
    </row>
    <row r="78" spans="1:6">
      <c r="A78" s="338">
        <v>23</v>
      </c>
      <c r="B78" s="338" t="s">
        <v>7059</v>
      </c>
      <c r="C78" s="1" t="s">
        <v>7060</v>
      </c>
      <c r="D78" s="8">
        <v>5159</v>
      </c>
      <c r="F78" s="338" t="s">
        <v>7012</v>
      </c>
    </row>
    <row r="79" spans="1:6">
      <c r="A79" s="338">
        <v>24</v>
      </c>
      <c r="B79" s="338" t="s">
        <v>3880</v>
      </c>
      <c r="C79" s="1" t="s">
        <v>7061</v>
      </c>
      <c r="D79" s="8">
        <v>6334</v>
      </c>
      <c r="F79" s="338" t="s">
        <v>7012</v>
      </c>
    </row>
    <row r="80" spans="1:6">
      <c r="D80" s="344"/>
    </row>
    <row r="81" spans="1:9">
      <c r="A81" s="338" t="s">
        <v>7062</v>
      </c>
      <c r="D81" s="341">
        <f>D56+D64+SUM(D67:D70)+D74+D75</f>
        <v>40237</v>
      </c>
    </row>
    <row r="82" spans="1:9">
      <c r="A82" s="338" t="s">
        <v>7012</v>
      </c>
      <c r="D82" s="341">
        <f>SUM(D57:D63)+D65+D66+SUM(D71:D73)+SUM(D76:D79)</f>
        <v>77607</v>
      </c>
    </row>
    <row r="83" spans="1:9">
      <c r="A83" s="338"/>
      <c r="B83" s="338"/>
      <c r="D83" s="348"/>
    </row>
    <row r="84" spans="1:9">
      <c r="A84" s="339" t="s">
        <v>7063</v>
      </c>
      <c r="B84" s="338"/>
      <c r="D84" s="348"/>
    </row>
    <row r="85" spans="1:9">
      <c r="A85" s="338" t="s">
        <v>7064</v>
      </c>
      <c r="B85" s="338"/>
      <c r="D85" s="348"/>
    </row>
    <row r="86" spans="1:9">
      <c r="A86" s="338"/>
      <c r="B86" s="338"/>
      <c r="D86" s="348"/>
    </row>
    <row r="87" spans="1:9">
      <c r="A87" s="338"/>
      <c r="B87" s="338"/>
      <c r="D87" s="348"/>
    </row>
    <row r="88" spans="1:9">
      <c r="D88" s="10" t="s">
        <v>285</v>
      </c>
      <c r="E88" s="5"/>
      <c r="F88" s="5" t="s">
        <v>4116</v>
      </c>
    </row>
    <row r="89" spans="1:9">
      <c r="D89" s="4">
        <v>2016</v>
      </c>
      <c r="F89" s="6" t="s">
        <v>286</v>
      </c>
    </row>
    <row r="90" spans="1:9">
      <c r="A90" s="338" t="s">
        <v>7065</v>
      </c>
      <c r="D90" s="341">
        <f t="shared" ref="D90" si="22">SUM(D91:D104)</f>
        <v>72757</v>
      </c>
    </row>
    <row r="91" spans="1:9">
      <c r="A91" s="338" t="s">
        <v>812</v>
      </c>
      <c r="B91" s="338" t="s">
        <v>998</v>
      </c>
      <c r="C91" s="1" t="s">
        <v>7066</v>
      </c>
      <c r="D91" s="13">
        <v>5522</v>
      </c>
      <c r="F91" s="338" t="s">
        <v>7000</v>
      </c>
      <c r="G91" s="1"/>
      <c r="I91" s="1"/>
    </row>
    <row r="92" spans="1:9">
      <c r="A92" s="338" t="s">
        <v>813</v>
      </c>
      <c r="B92" s="338" t="s">
        <v>3202</v>
      </c>
      <c r="C92" s="1" t="s">
        <v>7067</v>
      </c>
      <c r="D92" s="13">
        <v>5338</v>
      </c>
      <c r="F92" s="338" t="s">
        <v>7000</v>
      </c>
      <c r="G92" s="1"/>
      <c r="I92" s="1"/>
    </row>
    <row r="93" spans="1:9">
      <c r="A93" s="338" t="s">
        <v>814</v>
      </c>
      <c r="B93" s="338" t="s">
        <v>883</v>
      </c>
      <c r="C93" s="1" t="s">
        <v>7068</v>
      </c>
      <c r="D93" s="13">
        <v>5086</v>
      </c>
      <c r="F93" s="338" t="s">
        <v>7000</v>
      </c>
      <c r="G93" s="1"/>
      <c r="I93" s="1"/>
    </row>
    <row r="94" spans="1:9">
      <c r="A94" s="338" t="s">
        <v>815</v>
      </c>
      <c r="B94" s="338" t="s">
        <v>7069</v>
      </c>
      <c r="C94" s="1" t="s">
        <v>7070</v>
      </c>
      <c r="D94" s="13">
        <v>5449</v>
      </c>
      <c r="F94" s="338" t="s">
        <v>7000</v>
      </c>
      <c r="G94" s="1"/>
      <c r="I94" s="1"/>
    </row>
    <row r="95" spans="1:9">
      <c r="A95" s="338" t="s">
        <v>816</v>
      </c>
      <c r="B95" s="338" t="s">
        <v>7071</v>
      </c>
      <c r="C95" s="1" t="s">
        <v>7072</v>
      </c>
      <c r="D95" s="13">
        <v>5280</v>
      </c>
      <c r="F95" s="338" t="s">
        <v>7000</v>
      </c>
      <c r="G95" s="1"/>
      <c r="I95" s="1"/>
    </row>
    <row r="96" spans="1:9">
      <c r="A96" s="338" t="s">
        <v>826</v>
      </c>
      <c r="B96" s="338" t="s">
        <v>7073</v>
      </c>
      <c r="C96" s="1" t="s">
        <v>7074</v>
      </c>
      <c r="D96" s="13">
        <v>5459</v>
      </c>
      <c r="F96" s="338" t="s">
        <v>7000</v>
      </c>
      <c r="G96" s="1"/>
      <c r="I96" s="1"/>
    </row>
    <row r="97" spans="1:9">
      <c r="A97" s="338" t="s">
        <v>827</v>
      </c>
      <c r="B97" s="338" t="s">
        <v>7075</v>
      </c>
      <c r="C97" s="1" t="s">
        <v>7076</v>
      </c>
      <c r="D97" s="13">
        <v>5075</v>
      </c>
      <c r="F97" s="338" t="s">
        <v>7000</v>
      </c>
      <c r="G97" s="1"/>
      <c r="I97" s="1"/>
    </row>
    <row r="98" spans="1:9">
      <c r="A98" s="338" t="s">
        <v>828</v>
      </c>
      <c r="B98" s="338" t="s">
        <v>7077</v>
      </c>
      <c r="C98" s="1" t="s">
        <v>7078</v>
      </c>
      <c r="D98" s="13">
        <v>4528</v>
      </c>
      <c r="F98" s="338" t="s">
        <v>7000</v>
      </c>
      <c r="G98" s="1"/>
      <c r="I98" s="1"/>
    </row>
    <row r="99" spans="1:9">
      <c r="A99" s="338" t="s">
        <v>829</v>
      </c>
      <c r="B99" s="338" t="s">
        <v>6868</v>
      </c>
      <c r="C99" s="1" t="s">
        <v>7079</v>
      </c>
      <c r="D99" s="13">
        <v>4596</v>
      </c>
      <c r="F99" s="338" t="s">
        <v>7000</v>
      </c>
      <c r="G99" s="1"/>
      <c r="I99" s="1"/>
    </row>
    <row r="100" spans="1:9">
      <c r="A100" s="338" t="s">
        <v>830</v>
      </c>
      <c r="B100" s="338" t="s">
        <v>7080</v>
      </c>
      <c r="C100" s="1" t="s">
        <v>7081</v>
      </c>
      <c r="D100" s="13">
        <v>4275</v>
      </c>
      <c r="F100" s="338" t="s">
        <v>7000</v>
      </c>
      <c r="G100" s="1"/>
      <c r="I100" s="1"/>
    </row>
    <row r="101" spans="1:9">
      <c r="A101" s="338" t="s">
        <v>831</v>
      </c>
      <c r="B101" s="338" t="s">
        <v>7082</v>
      </c>
      <c r="C101" s="1" t="s">
        <v>7083</v>
      </c>
      <c r="D101" s="13">
        <v>5491</v>
      </c>
      <c r="F101" s="338" t="s">
        <v>7000</v>
      </c>
      <c r="G101" s="1"/>
      <c r="I101" s="1"/>
    </row>
    <row r="102" spans="1:9">
      <c r="A102" s="338" t="s">
        <v>832</v>
      </c>
      <c r="B102" s="338" t="s">
        <v>7084</v>
      </c>
      <c r="C102" s="1" t="s">
        <v>7085</v>
      </c>
      <c r="D102" s="13">
        <v>5210</v>
      </c>
      <c r="F102" s="338" t="s">
        <v>7000</v>
      </c>
      <c r="G102" s="1"/>
      <c r="I102" s="1"/>
    </row>
    <row r="103" spans="1:9">
      <c r="A103" s="338" t="s">
        <v>833</v>
      </c>
      <c r="B103" s="338" t="s">
        <v>7086</v>
      </c>
      <c r="C103" s="1" t="s">
        <v>7087</v>
      </c>
      <c r="D103" s="13">
        <v>6347</v>
      </c>
      <c r="F103" s="338" t="s">
        <v>7000</v>
      </c>
      <c r="G103" s="1"/>
      <c r="I103" s="1"/>
    </row>
    <row r="104" spans="1:9">
      <c r="A104" s="338" t="s">
        <v>834</v>
      </c>
      <c r="B104" s="338" t="s">
        <v>7088</v>
      </c>
      <c r="C104" s="1" t="s">
        <v>7089</v>
      </c>
      <c r="D104" s="13">
        <v>5101</v>
      </c>
      <c r="F104" s="338" t="s">
        <v>7000</v>
      </c>
      <c r="G104" s="1"/>
      <c r="I104" s="1"/>
    </row>
    <row r="105" spans="1:9">
      <c r="D105" s="344"/>
    </row>
    <row r="106" spans="1:9">
      <c r="A106" s="338" t="s">
        <v>7000</v>
      </c>
      <c r="D106" s="341">
        <f>SUM(D91:D104)</f>
        <v>72757</v>
      </c>
    </row>
    <row r="107" spans="1:9">
      <c r="A107" s="338"/>
      <c r="D107" s="341"/>
    </row>
    <row r="108" spans="1:9">
      <c r="A108" s="338" t="s">
        <v>7090</v>
      </c>
      <c r="D108" s="341"/>
    </row>
    <row r="109" spans="1:9">
      <c r="A109" s="338"/>
      <c r="B109" s="338"/>
      <c r="D109" s="348"/>
    </row>
    <row r="110" spans="1:9">
      <c r="A110" s="338"/>
      <c r="B110" s="338"/>
      <c r="D110" s="348"/>
    </row>
    <row r="111" spans="1:9">
      <c r="D111" s="10" t="s">
        <v>285</v>
      </c>
      <c r="E111" s="5"/>
      <c r="F111" s="5" t="s">
        <v>4116</v>
      </c>
    </row>
    <row r="112" spans="1:9">
      <c r="D112" s="4">
        <v>2016</v>
      </c>
      <c r="F112" s="6" t="s">
        <v>286</v>
      </c>
    </row>
    <row r="113" spans="1:9">
      <c r="A113" s="338" t="s">
        <v>7091</v>
      </c>
      <c r="D113" s="341">
        <f t="shared" ref="D113" si="23">SUM(D114:D132)</f>
        <v>60605</v>
      </c>
    </row>
    <row r="114" spans="1:9">
      <c r="A114" s="338" t="s">
        <v>812</v>
      </c>
      <c r="B114" s="338" t="s">
        <v>7092</v>
      </c>
      <c r="C114" s="1" t="s">
        <v>7093</v>
      </c>
      <c r="D114" s="13">
        <v>3028</v>
      </c>
      <c r="F114" s="338" t="s">
        <v>7014</v>
      </c>
      <c r="G114" s="1"/>
      <c r="I114" s="1"/>
    </row>
    <row r="115" spans="1:9">
      <c r="A115" s="338" t="s">
        <v>813</v>
      </c>
      <c r="B115" s="338" t="s">
        <v>7094</v>
      </c>
      <c r="C115" s="1" t="s">
        <v>7095</v>
      </c>
      <c r="D115" s="13">
        <v>4709</v>
      </c>
      <c r="F115" s="338" t="s">
        <v>7014</v>
      </c>
      <c r="G115" s="1"/>
      <c r="I115" s="1"/>
    </row>
    <row r="116" spans="1:9">
      <c r="A116" s="338" t="s">
        <v>814</v>
      </c>
      <c r="B116" s="338" t="s">
        <v>7096</v>
      </c>
      <c r="C116" s="1" t="s">
        <v>7097</v>
      </c>
      <c r="D116" s="13">
        <v>2970</v>
      </c>
      <c r="F116" s="338" t="s">
        <v>7014</v>
      </c>
      <c r="G116" s="1"/>
      <c r="I116" s="1"/>
    </row>
    <row r="117" spans="1:9">
      <c r="A117" s="338" t="s">
        <v>815</v>
      </c>
      <c r="B117" s="338" t="s">
        <v>7098</v>
      </c>
      <c r="C117" s="1" t="s">
        <v>7099</v>
      </c>
      <c r="D117" s="13">
        <v>3422</v>
      </c>
      <c r="F117" s="338" t="s">
        <v>7005</v>
      </c>
      <c r="G117" s="1"/>
      <c r="I117" s="1"/>
    </row>
    <row r="118" spans="1:9">
      <c r="A118" s="338" t="s">
        <v>816</v>
      </c>
      <c r="B118" s="338" t="s">
        <v>7100</v>
      </c>
      <c r="C118" s="1" t="s">
        <v>7101</v>
      </c>
      <c r="D118" s="13">
        <v>1496</v>
      </c>
      <c r="F118" s="338" t="s">
        <v>7014</v>
      </c>
      <c r="G118" s="1"/>
      <c r="I118" s="1"/>
    </row>
    <row r="119" spans="1:9">
      <c r="A119" s="338" t="s">
        <v>826</v>
      </c>
      <c r="B119" s="338" t="s">
        <v>7102</v>
      </c>
      <c r="C119" s="1" t="s">
        <v>7103</v>
      </c>
      <c r="D119" s="13">
        <v>2870</v>
      </c>
      <c r="F119" s="338" t="s">
        <v>7014</v>
      </c>
      <c r="G119" s="1"/>
      <c r="I119" s="1"/>
    </row>
    <row r="120" spans="1:9">
      <c r="A120" s="338" t="s">
        <v>827</v>
      </c>
      <c r="B120" s="338" t="s">
        <v>7104</v>
      </c>
      <c r="C120" s="1" t="s">
        <v>7105</v>
      </c>
      <c r="D120" s="13">
        <v>4917</v>
      </c>
      <c r="F120" s="338" t="s">
        <v>7014</v>
      </c>
      <c r="G120" s="1"/>
      <c r="I120" s="1"/>
    </row>
    <row r="121" spans="1:9">
      <c r="A121" s="338" t="s">
        <v>828</v>
      </c>
      <c r="B121" s="338" t="s">
        <v>7106</v>
      </c>
      <c r="C121" s="1" t="s">
        <v>7107</v>
      </c>
      <c r="D121" s="13">
        <v>2998</v>
      </c>
      <c r="F121" s="338" t="s">
        <v>7014</v>
      </c>
      <c r="G121" s="1"/>
      <c r="I121" s="1"/>
    </row>
    <row r="122" spans="1:9">
      <c r="A122" s="338" t="s">
        <v>829</v>
      </c>
      <c r="B122" s="338" t="s">
        <v>7108</v>
      </c>
      <c r="C122" s="1" t="s">
        <v>7109</v>
      </c>
      <c r="D122" s="13">
        <v>3294</v>
      </c>
      <c r="F122" s="338" t="s">
        <v>7014</v>
      </c>
      <c r="G122" s="1"/>
      <c r="I122" s="1"/>
    </row>
    <row r="123" spans="1:9">
      <c r="A123" s="338" t="s">
        <v>830</v>
      </c>
      <c r="B123" s="338" t="s">
        <v>7110</v>
      </c>
      <c r="C123" s="1" t="s">
        <v>7111</v>
      </c>
      <c r="D123" s="13">
        <v>2783</v>
      </c>
      <c r="F123" s="338" t="s">
        <v>7014</v>
      </c>
      <c r="G123" s="1"/>
      <c r="I123" s="1"/>
    </row>
    <row r="124" spans="1:9">
      <c r="A124" s="338" t="s">
        <v>831</v>
      </c>
      <c r="B124" s="338" t="s">
        <v>7112</v>
      </c>
      <c r="C124" s="1" t="s">
        <v>7113</v>
      </c>
      <c r="D124" s="13">
        <v>4457</v>
      </c>
      <c r="F124" s="338" t="s">
        <v>7014</v>
      </c>
      <c r="G124" s="1"/>
      <c r="I124" s="1"/>
    </row>
    <row r="125" spans="1:9">
      <c r="A125" s="338" t="s">
        <v>832</v>
      </c>
      <c r="B125" s="338" t="s">
        <v>7114</v>
      </c>
      <c r="C125" s="1" t="s">
        <v>7115</v>
      </c>
      <c r="D125" s="13">
        <v>1789</v>
      </c>
      <c r="F125" s="338" t="s">
        <v>7014</v>
      </c>
      <c r="G125" s="1"/>
      <c r="I125" s="1"/>
    </row>
    <row r="126" spans="1:9">
      <c r="A126" s="338" t="s">
        <v>833</v>
      </c>
      <c r="B126" s="338" t="s">
        <v>7116</v>
      </c>
      <c r="C126" s="1" t="s">
        <v>7117</v>
      </c>
      <c r="D126" s="13">
        <v>3694</v>
      </c>
      <c r="F126" s="268" t="s">
        <v>7015</v>
      </c>
      <c r="G126" s="1"/>
      <c r="I126" s="1"/>
    </row>
    <row r="127" spans="1:9">
      <c r="A127" s="338" t="s">
        <v>834</v>
      </c>
      <c r="B127" s="338" t="s">
        <v>7118</v>
      </c>
      <c r="C127" s="1" t="s">
        <v>7119</v>
      </c>
      <c r="D127" s="13">
        <v>2358</v>
      </c>
      <c r="F127" s="268" t="s">
        <v>7015</v>
      </c>
      <c r="G127" s="1"/>
      <c r="I127" s="1"/>
    </row>
    <row r="128" spans="1:9">
      <c r="A128" s="338" t="s">
        <v>835</v>
      </c>
      <c r="B128" s="338" t="s">
        <v>7120</v>
      </c>
      <c r="C128" s="1" t="s">
        <v>7121</v>
      </c>
      <c r="D128" s="13">
        <v>3535</v>
      </c>
      <c r="F128" s="338" t="s">
        <v>7014</v>
      </c>
      <c r="G128" s="1"/>
      <c r="I128" s="1"/>
    </row>
    <row r="129" spans="1:9">
      <c r="A129" s="338" t="s">
        <v>836</v>
      </c>
      <c r="B129" s="338" t="s">
        <v>7122</v>
      </c>
      <c r="C129" s="1" t="s">
        <v>7123</v>
      </c>
      <c r="D129" s="13">
        <v>4785</v>
      </c>
      <c r="F129" s="338" t="s">
        <v>7014</v>
      </c>
      <c r="G129" s="1"/>
      <c r="I129" s="1"/>
    </row>
    <row r="130" spans="1:9">
      <c r="A130" s="338" t="s">
        <v>837</v>
      </c>
      <c r="B130" s="338" t="s">
        <v>7124</v>
      </c>
      <c r="C130" s="1" t="s">
        <v>7125</v>
      </c>
      <c r="D130" s="13">
        <v>3009</v>
      </c>
      <c r="F130" s="338" t="s">
        <v>7014</v>
      </c>
      <c r="G130" s="1"/>
      <c r="I130" s="1"/>
    </row>
    <row r="131" spans="1:9">
      <c r="A131" s="338" t="s">
        <v>838</v>
      </c>
      <c r="B131" s="338" t="s">
        <v>4475</v>
      </c>
      <c r="C131" s="1" t="s">
        <v>7126</v>
      </c>
      <c r="D131" s="13">
        <v>2986</v>
      </c>
      <c r="F131" s="338" t="s">
        <v>7005</v>
      </c>
      <c r="G131" s="1"/>
      <c r="I131" s="1"/>
    </row>
    <row r="132" spans="1:9">
      <c r="A132" s="349">
        <v>19</v>
      </c>
      <c r="B132" s="338" t="s">
        <v>7127</v>
      </c>
      <c r="C132" s="1" t="s">
        <v>7128</v>
      </c>
      <c r="D132" s="13">
        <v>1505</v>
      </c>
      <c r="F132" s="338" t="s">
        <v>7014</v>
      </c>
      <c r="G132" s="1"/>
      <c r="I132" s="1"/>
    </row>
    <row r="133" spans="1:9">
      <c r="D133" s="344"/>
    </row>
    <row r="134" spans="1:9">
      <c r="A134" s="338" t="s">
        <v>7129</v>
      </c>
      <c r="D134" s="341">
        <f>D117+D131</f>
        <v>6408</v>
      </c>
    </row>
    <row r="135" spans="1:9">
      <c r="A135" s="338" t="s">
        <v>7130</v>
      </c>
      <c r="D135" s="341">
        <f>SUM(D114:D116)+SUM(D118:D125)+SUM(D128:D130)+D132</f>
        <v>48145</v>
      </c>
    </row>
    <row r="136" spans="1:9">
      <c r="A136" s="268" t="s">
        <v>7131</v>
      </c>
      <c r="D136" s="341">
        <f>D126+D127</f>
        <v>6052</v>
      </c>
    </row>
    <row r="137" spans="1:9">
      <c r="A137" s="338"/>
      <c r="D137" s="341"/>
    </row>
    <row r="138" spans="1:9">
      <c r="A138" s="338" t="s">
        <v>7132</v>
      </c>
      <c r="D138" s="341"/>
    </row>
    <row r="139" spans="1:9">
      <c r="A139" s="338"/>
      <c r="B139" s="338"/>
      <c r="D139" s="348"/>
    </row>
    <row r="140" spans="1:9">
      <c r="A140" s="338"/>
      <c r="B140" s="338"/>
      <c r="D140" s="348"/>
    </row>
    <row r="141" spans="1:9">
      <c r="D141" s="10" t="s">
        <v>285</v>
      </c>
      <c r="E141" s="5"/>
      <c r="F141" s="5" t="s">
        <v>4116</v>
      </c>
    </row>
    <row r="142" spans="1:9">
      <c r="D142" s="4">
        <v>2016</v>
      </c>
      <c r="F142" s="6" t="s">
        <v>286</v>
      </c>
    </row>
    <row r="143" spans="1:9">
      <c r="A143" s="338" t="s">
        <v>7133</v>
      </c>
      <c r="D143" s="341">
        <f t="shared" ref="D143" si="24">SUM(D144:D167)</f>
        <v>69319</v>
      </c>
    </row>
    <row r="144" spans="1:9">
      <c r="A144" s="338" t="s">
        <v>812</v>
      </c>
      <c r="B144" s="338" t="s">
        <v>7134</v>
      </c>
      <c r="C144" s="1" t="s">
        <v>7135</v>
      </c>
      <c r="D144" s="13">
        <v>3769</v>
      </c>
      <c r="F144" s="338" t="s">
        <v>7005</v>
      </c>
      <c r="G144" s="1"/>
      <c r="I144" s="1"/>
    </row>
    <row r="145" spans="1:9">
      <c r="A145" s="338" t="s">
        <v>813</v>
      </c>
      <c r="B145" s="338" t="s">
        <v>7136</v>
      </c>
      <c r="C145" s="1" t="s">
        <v>7137</v>
      </c>
      <c r="D145" s="13">
        <v>3449</v>
      </c>
      <c r="F145" s="338" t="s">
        <v>7005</v>
      </c>
      <c r="G145" s="1"/>
      <c r="I145" s="1"/>
    </row>
    <row r="146" spans="1:9">
      <c r="A146" s="338" t="s">
        <v>814</v>
      </c>
      <c r="B146" s="338" t="s">
        <v>2405</v>
      </c>
      <c r="C146" s="1" t="s">
        <v>7138</v>
      </c>
      <c r="D146" s="13">
        <v>2101</v>
      </c>
      <c r="F146" s="338" t="s">
        <v>7005</v>
      </c>
      <c r="G146" s="1"/>
      <c r="I146" s="1"/>
    </row>
    <row r="147" spans="1:9">
      <c r="A147" s="338" t="s">
        <v>815</v>
      </c>
      <c r="B147" s="338" t="s">
        <v>7139</v>
      </c>
      <c r="C147" s="1" t="s">
        <v>7140</v>
      </c>
      <c r="D147" s="13">
        <v>1270</v>
      </c>
      <c r="F147" s="338" t="s">
        <v>7005</v>
      </c>
      <c r="G147" s="1"/>
      <c r="I147" s="1"/>
    </row>
    <row r="148" spans="1:9">
      <c r="A148" s="338" t="s">
        <v>816</v>
      </c>
      <c r="B148" s="338" t="s">
        <v>7141</v>
      </c>
      <c r="C148" s="1" t="s">
        <v>7142</v>
      </c>
      <c r="D148" s="13">
        <v>3568</v>
      </c>
      <c r="F148" s="338" t="s">
        <v>7005</v>
      </c>
      <c r="G148" s="1"/>
      <c r="I148" s="1"/>
    </row>
    <row r="149" spans="1:9">
      <c r="A149" s="338" t="s">
        <v>826</v>
      </c>
      <c r="B149" s="338" t="s">
        <v>7143</v>
      </c>
      <c r="C149" s="1" t="s">
        <v>7144</v>
      </c>
      <c r="D149" s="13">
        <v>3674</v>
      </c>
      <c r="F149" s="338" t="s">
        <v>7005</v>
      </c>
      <c r="G149" s="1"/>
      <c r="I149" s="1"/>
    </row>
    <row r="150" spans="1:9">
      <c r="A150" s="338" t="s">
        <v>827</v>
      </c>
      <c r="B150" s="338" t="s">
        <v>7145</v>
      </c>
      <c r="C150" s="1" t="s">
        <v>7146</v>
      </c>
      <c r="D150" s="13">
        <v>1529</v>
      </c>
      <c r="F150" s="338" t="s">
        <v>7005</v>
      </c>
      <c r="G150" s="1"/>
      <c r="I150" s="1"/>
    </row>
    <row r="151" spans="1:9">
      <c r="A151" s="338" t="s">
        <v>828</v>
      </c>
      <c r="B151" s="338" t="s">
        <v>7147</v>
      </c>
      <c r="C151" s="1" t="s">
        <v>7148</v>
      </c>
      <c r="D151" s="13">
        <v>2082</v>
      </c>
      <c r="F151" s="338" t="s">
        <v>7005</v>
      </c>
      <c r="G151" s="1"/>
      <c r="I151" s="1"/>
    </row>
    <row r="152" spans="1:9">
      <c r="A152" s="338" t="s">
        <v>829</v>
      </c>
      <c r="B152" s="338" t="s">
        <v>7149</v>
      </c>
      <c r="C152" s="1" t="s">
        <v>7150</v>
      </c>
      <c r="D152" s="13">
        <v>1803</v>
      </c>
      <c r="F152" s="338" t="s">
        <v>7005</v>
      </c>
      <c r="G152" s="1"/>
      <c r="I152" s="1"/>
    </row>
    <row r="153" spans="1:9">
      <c r="A153" s="338" t="s">
        <v>830</v>
      </c>
      <c r="B153" s="338" t="s">
        <v>7151</v>
      </c>
      <c r="C153" s="1" t="s">
        <v>7152</v>
      </c>
      <c r="D153" s="13">
        <v>5591</v>
      </c>
      <c r="F153" s="338" t="s">
        <v>7005</v>
      </c>
      <c r="G153" s="1"/>
      <c r="I153" s="1"/>
    </row>
    <row r="154" spans="1:9">
      <c r="A154" s="338" t="s">
        <v>831</v>
      </c>
      <c r="B154" s="338" t="s">
        <v>7153</v>
      </c>
      <c r="C154" s="1" t="s">
        <v>7154</v>
      </c>
      <c r="D154" s="13">
        <v>5314</v>
      </c>
      <c r="F154" s="338" t="s">
        <v>7005</v>
      </c>
      <c r="G154" s="1"/>
      <c r="I154" s="1"/>
    </row>
    <row r="155" spans="1:9">
      <c r="A155" s="338" t="s">
        <v>832</v>
      </c>
      <c r="B155" s="338" t="s">
        <v>7155</v>
      </c>
      <c r="C155" s="1" t="s">
        <v>7156</v>
      </c>
      <c r="D155" s="13">
        <v>5339</v>
      </c>
      <c r="F155" s="338" t="s">
        <v>7005</v>
      </c>
      <c r="G155" s="1"/>
      <c r="I155" s="1"/>
    </row>
    <row r="156" spans="1:9">
      <c r="A156" s="338" t="s">
        <v>833</v>
      </c>
      <c r="B156" s="338" t="s">
        <v>7157</v>
      </c>
      <c r="C156" s="1" t="s">
        <v>7158</v>
      </c>
      <c r="D156" s="13">
        <v>1446</v>
      </c>
      <c r="F156" s="338" t="s">
        <v>7005</v>
      </c>
      <c r="G156" s="1"/>
      <c r="I156" s="1"/>
    </row>
    <row r="157" spans="1:9">
      <c r="A157" s="338" t="s">
        <v>834</v>
      </c>
      <c r="B157" s="338" t="s">
        <v>7159</v>
      </c>
      <c r="C157" s="1" t="s">
        <v>7160</v>
      </c>
      <c r="D157" s="13">
        <v>3167</v>
      </c>
      <c r="F157" s="338" t="s">
        <v>7005</v>
      </c>
      <c r="G157" s="1"/>
      <c r="I157" s="1"/>
    </row>
    <row r="158" spans="1:9">
      <c r="A158" s="338" t="s">
        <v>835</v>
      </c>
      <c r="B158" s="338" t="s">
        <v>7161</v>
      </c>
      <c r="C158" s="1" t="s">
        <v>7162</v>
      </c>
      <c r="D158" s="13">
        <v>3920</v>
      </c>
      <c r="F158" s="338" t="s">
        <v>7005</v>
      </c>
      <c r="G158" s="1"/>
      <c r="I158" s="1"/>
    </row>
    <row r="159" spans="1:9">
      <c r="A159" s="338" t="s">
        <v>836</v>
      </c>
      <c r="B159" s="338" t="s">
        <v>7163</v>
      </c>
      <c r="C159" s="1" t="s">
        <v>7164</v>
      </c>
      <c r="D159" s="13">
        <v>1646</v>
      </c>
      <c r="F159" s="338" t="s">
        <v>7005</v>
      </c>
      <c r="G159" s="1"/>
      <c r="I159" s="1"/>
    </row>
    <row r="160" spans="1:9">
      <c r="A160" s="338" t="s">
        <v>837</v>
      </c>
      <c r="B160" s="338" t="s">
        <v>7165</v>
      </c>
      <c r="C160" s="1" t="s">
        <v>7166</v>
      </c>
      <c r="D160" s="13">
        <v>5146</v>
      </c>
      <c r="F160" s="338" t="s">
        <v>7005</v>
      </c>
      <c r="G160" s="1"/>
      <c r="I160" s="1"/>
    </row>
    <row r="161" spans="1:9">
      <c r="A161" s="338" t="s">
        <v>838</v>
      </c>
      <c r="B161" s="338" t="s">
        <v>740</v>
      </c>
      <c r="C161" s="1" t="s">
        <v>7167</v>
      </c>
      <c r="D161" s="13">
        <v>2036</v>
      </c>
      <c r="F161" s="338" t="s">
        <v>7005</v>
      </c>
      <c r="G161" s="1"/>
      <c r="I161" s="1"/>
    </row>
    <row r="162" spans="1:9">
      <c r="A162" s="338" t="s">
        <v>840</v>
      </c>
      <c r="B162" s="338" t="s">
        <v>7168</v>
      </c>
      <c r="C162" s="1" t="s">
        <v>7169</v>
      </c>
      <c r="D162" s="13">
        <v>1867</v>
      </c>
      <c r="F162" s="338" t="s">
        <v>7005</v>
      </c>
      <c r="G162" s="1"/>
      <c r="I162" s="1"/>
    </row>
    <row r="163" spans="1:9">
      <c r="A163" s="338" t="s">
        <v>841</v>
      </c>
      <c r="B163" s="338" t="s">
        <v>7170</v>
      </c>
      <c r="C163" s="1" t="s">
        <v>7171</v>
      </c>
      <c r="D163" s="13">
        <v>1790</v>
      </c>
      <c r="F163" s="338" t="s">
        <v>7005</v>
      </c>
      <c r="G163" s="1"/>
      <c r="I163" s="1"/>
    </row>
    <row r="164" spans="1:9">
      <c r="A164" s="338" t="s">
        <v>878</v>
      </c>
      <c r="B164" s="338" t="s">
        <v>7172</v>
      </c>
      <c r="C164" s="1" t="s">
        <v>7173</v>
      </c>
      <c r="D164" s="13">
        <v>2023</v>
      </c>
      <c r="F164" s="338" t="s">
        <v>7005</v>
      </c>
      <c r="G164" s="1"/>
      <c r="I164" s="1"/>
    </row>
    <row r="165" spans="1:9">
      <c r="A165" s="338" t="s">
        <v>879</v>
      </c>
      <c r="B165" s="338" t="s">
        <v>7174</v>
      </c>
      <c r="C165" s="1" t="s">
        <v>7175</v>
      </c>
      <c r="D165" s="13">
        <v>2161</v>
      </c>
      <c r="F165" s="338" t="s">
        <v>7005</v>
      </c>
      <c r="G165" s="1"/>
      <c r="I165" s="1"/>
    </row>
    <row r="166" spans="1:9">
      <c r="A166" s="338" t="s">
        <v>880</v>
      </c>
      <c r="B166" s="338" t="s">
        <v>7176</v>
      </c>
      <c r="C166" s="1" t="s">
        <v>7177</v>
      </c>
      <c r="D166" s="13">
        <v>2969</v>
      </c>
      <c r="F166" s="338" t="s">
        <v>7005</v>
      </c>
      <c r="G166" s="1"/>
      <c r="I166" s="1"/>
    </row>
    <row r="167" spans="1:9">
      <c r="A167" s="338" t="s">
        <v>721</v>
      </c>
      <c r="B167" s="338" t="s">
        <v>7178</v>
      </c>
      <c r="C167" s="1" t="s">
        <v>7179</v>
      </c>
      <c r="D167" s="13">
        <v>1659</v>
      </c>
      <c r="F167" s="338" t="s">
        <v>7005</v>
      </c>
      <c r="G167" s="1"/>
      <c r="I167" s="1"/>
    </row>
    <row r="168" spans="1:9">
      <c r="D168" s="344"/>
    </row>
    <row r="169" spans="1:9">
      <c r="A169" s="338" t="s">
        <v>7129</v>
      </c>
      <c r="D169" s="341">
        <f t="shared" ref="D169" si="25">SUM(D144:D167)</f>
        <v>69319</v>
      </c>
    </row>
    <row r="170" spans="1:9">
      <c r="A170" s="338"/>
      <c r="D170" s="341"/>
    </row>
    <row r="171" spans="1:9">
      <c r="A171" s="338" t="s">
        <v>7180</v>
      </c>
      <c r="D171" s="341"/>
    </row>
    <row r="172" spans="1:9">
      <c r="A172" s="338"/>
      <c r="B172" s="338"/>
      <c r="D172" s="348"/>
    </row>
    <row r="173" spans="1:9">
      <c r="A173" s="338"/>
      <c r="B173" s="338"/>
      <c r="D173" s="348"/>
    </row>
    <row r="174" spans="1:9">
      <c r="D174" s="10" t="s">
        <v>285</v>
      </c>
      <c r="E174" s="5"/>
      <c r="F174" s="5" t="s">
        <v>4116</v>
      </c>
    </row>
    <row r="175" spans="1:9">
      <c r="D175" s="4">
        <v>2016</v>
      </c>
      <c r="F175" s="6" t="s">
        <v>286</v>
      </c>
    </row>
    <row r="176" spans="1:9">
      <c r="A176" s="338" t="s">
        <v>6998</v>
      </c>
      <c r="D176" s="341">
        <f>SUM(D177:D205)</f>
        <v>124073</v>
      </c>
    </row>
    <row r="177" spans="1:9">
      <c r="A177" s="338" t="s">
        <v>812</v>
      </c>
      <c r="B177" s="338" t="s">
        <v>7181</v>
      </c>
      <c r="C177" s="1" t="s">
        <v>7182</v>
      </c>
      <c r="D177" s="7">
        <v>2532</v>
      </c>
      <c r="F177" s="338" t="s">
        <v>7003</v>
      </c>
      <c r="G177" s="1"/>
      <c r="H177" s="19"/>
      <c r="I177" s="1"/>
    </row>
    <row r="178" spans="1:9">
      <c r="A178" s="338" t="s">
        <v>813</v>
      </c>
      <c r="B178" s="338" t="s">
        <v>7183</v>
      </c>
      <c r="C178" s="1" t="s">
        <v>7184</v>
      </c>
      <c r="D178" s="7">
        <v>4460</v>
      </c>
      <c r="F178" s="338" t="s">
        <v>7003</v>
      </c>
      <c r="G178" s="1"/>
      <c r="H178" s="19"/>
      <c r="I178" s="1"/>
    </row>
    <row r="179" spans="1:9">
      <c r="A179" s="338" t="s">
        <v>814</v>
      </c>
      <c r="B179" s="338" t="s">
        <v>7185</v>
      </c>
      <c r="C179" s="1" t="s">
        <v>7186</v>
      </c>
      <c r="D179" s="7">
        <v>2616</v>
      </c>
      <c r="F179" s="338" t="s">
        <v>7003</v>
      </c>
      <c r="G179" s="1"/>
      <c r="H179" s="19"/>
      <c r="I179" s="1"/>
    </row>
    <row r="180" spans="1:9">
      <c r="A180" s="338" t="s">
        <v>815</v>
      </c>
      <c r="B180" s="338" t="s">
        <v>7187</v>
      </c>
      <c r="C180" s="1" t="s">
        <v>7188</v>
      </c>
      <c r="D180" s="8">
        <v>4723</v>
      </c>
      <c r="F180" s="338" t="s">
        <v>7014</v>
      </c>
      <c r="G180" s="1"/>
      <c r="H180" s="20"/>
      <c r="I180" s="1"/>
    </row>
    <row r="181" spans="1:9">
      <c r="A181" s="338" t="s">
        <v>816</v>
      </c>
      <c r="B181" s="338" t="s">
        <v>7189</v>
      </c>
      <c r="C181" s="1" t="s">
        <v>7190</v>
      </c>
      <c r="D181" s="8">
        <v>2417</v>
      </c>
      <c r="F181" s="338" t="s">
        <v>7010</v>
      </c>
      <c r="G181" s="1"/>
      <c r="H181" s="19"/>
      <c r="I181" s="1"/>
    </row>
    <row r="182" spans="1:9">
      <c r="A182" s="338" t="s">
        <v>826</v>
      </c>
      <c r="B182" s="338" t="s">
        <v>7191</v>
      </c>
      <c r="C182" s="1" t="s">
        <v>7192</v>
      </c>
      <c r="D182" s="8">
        <v>2109</v>
      </c>
      <c r="F182" s="338" t="s">
        <v>7010</v>
      </c>
      <c r="G182" s="1"/>
      <c r="H182" s="20"/>
      <c r="I182" s="1"/>
    </row>
    <row r="183" spans="1:9">
      <c r="A183" s="338" t="s">
        <v>827</v>
      </c>
      <c r="B183" s="338" t="s">
        <v>7193</v>
      </c>
      <c r="C183" s="1" t="s">
        <v>7194</v>
      </c>
      <c r="D183" s="7">
        <v>2338</v>
      </c>
      <c r="F183" s="338" t="s">
        <v>7003</v>
      </c>
      <c r="G183" s="1"/>
      <c r="H183" s="19"/>
      <c r="I183" s="1"/>
    </row>
    <row r="184" spans="1:9">
      <c r="A184" s="338" t="s">
        <v>828</v>
      </c>
      <c r="B184" s="338" t="s">
        <v>7195</v>
      </c>
      <c r="C184" s="1" t="s">
        <v>7196</v>
      </c>
      <c r="D184" s="7">
        <v>4818</v>
      </c>
      <c r="F184" s="338" t="s">
        <v>7003</v>
      </c>
      <c r="G184" s="1"/>
      <c r="H184" s="19"/>
      <c r="I184" s="1"/>
    </row>
    <row r="185" spans="1:9">
      <c r="A185" s="338" t="s">
        <v>829</v>
      </c>
      <c r="B185" s="338" t="s">
        <v>7197</v>
      </c>
      <c r="C185" s="1" t="s">
        <v>7198</v>
      </c>
      <c r="D185" s="7">
        <v>3593</v>
      </c>
      <c r="F185" s="338" t="s">
        <v>7013</v>
      </c>
      <c r="G185" s="1"/>
      <c r="H185" s="19"/>
      <c r="I185" s="1"/>
    </row>
    <row r="186" spans="1:9">
      <c r="A186" s="338" t="s">
        <v>830</v>
      </c>
      <c r="B186" s="338" t="s">
        <v>7199</v>
      </c>
      <c r="C186" s="1" t="s">
        <v>7200</v>
      </c>
      <c r="D186" s="7">
        <v>6686</v>
      </c>
      <c r="F186" s="338" t="s">
        <v>7003</v>
      </c>
      <c r="G186" s="1"/>
      <c r="H186" s="19"/>
      <c r="I186" s="1"/>
    </row>
    <row r="187" spans="1:9">
      <c r="A187" s="338" t="s">
        <v>831</v>
      </c>
      <c r="B187" s="338" t="s">
        <v>7201</v>
      </c>
      <c r="C187" s="1" t="s">
        <v>7202</v>
      </c>
      <c r="D187" s="7">
        <v>3510</v>
      </c>
      <c r="F187" s="338" t="s">
        <v>7003</v>
      </c>
      <c r="G187" s="1"/>
      <c r="H187" s="19"/>
      <c r="I187" s="1"/>
    </row>
    <row r="188" spans="1:9">
      <c r="A188" s="338" t="s">
        <v>832</v>
      </c>
      <c r="B188" s="338" t="s">
        <v>7203</v>
      </c>
      <c r="C188" s="1" t="s">
        <v>7204</v>
      </c>
      <c r="D188" s="7">
        <v>4772</v>
      </c>
      <c r="F188" s="338" t="s">
        <v>7003</v>
      </c>
      <c r="G188" s="1"/>
      <c r="H188" s="19"/>
      <c r="I188" s="1"/>
    </row>
    <row r="189" spans="1:9">
      <c r="A189" s="338" t="s">
        <v>833</v>
      </c>
      <c r="B189" s="338" t="s">
        <v>7205</v>
      </c>
      <c r="C189" s="1" t="s">
        <v>7206</v>
      </c>
      <c r="D189" s="7">
        <v>2485</v>
      </c>
      <c r="F189" s="338" t="s">
        <v>7003</v>
      </c>
      <c r="G189" s="1"/>
      <c r="H189" s="19"/>
      <c r="I189" s="1"/>
    </row>
    <row r="190" spans="1:9">
      <c r="A190" s="338" t="s">
        <v>834</v>
      </c>
      <c r="B190" s="338" t="s">
        <v>7207</v>
      </c>
      <c r="C190" s="1" t="s">
        <v>7208</v>
      </c>
      <c r="D190" s="7">
        <v>3036</v>
      </c>
      <c r="F190" s="338" t="s">
        <v>7003</v>
      </c>
      <c r="G190" s="1"/>
      <c r="H190" s="19"/>
      <c r="I190" s="1"/>
    </row>
    <row r="191" spans="1:9">
      <c r="A191" s="338" t="s">
        <v>835</v>
      </c>
      <c r="B191" s="338" t="s">
        <v>7209</v>
      </c>
      <c r="C191" s="1" t="s">
        <v>7210</v>
      </c>
      <c r="D191" s="8">
        <v>6258</v>
      </c>
      <c r="F191" s="338" t="s">
        <v>7010</v>
      </c>
      <c r="G191" s="1"/>
      <c r="H191" s="20"/>
      <c r="I191" s="1"/>
    </row>
    <row r="192" spans="1:9">
      <c r="A192" s="338" t="s">
        <v>836</v>
      </c>
      <c r="B192" s="338" t="s">
        <v>544</v>
      </c>
      <c r="C192" s="1" t="s">
        <v>7211</v>
      </c>
      <c r="D192" s="7">
        <v>4762</v>
      </c>
      <c r="F192" s="338" t="s">
        <v>7003</v>
      </c>
      <c r="G192" s="1"/>
      <c r="H192" s="19"/>
    </row>
    <row r="193" spans="1:9">
      <c r="A193" s="338" t="s">
        <v>837</v>
      </c>
      <c r="B193" s="338" t="s">
        <v>7212</v>
      </c>
      <c r="C193" s="1" t="s">
        <v>7213</v>
      </c>
      <c r="D193" s="7">
        <v>5062</v>
      </c>
      <c r="F193" s="338" t="s">
        <v>7003</v>
      </c>
      <c r="G193" s="1"/>
      <c r="H193" s="19"/>
      <c r="I193" s="1"/>
    </row>
    <row r="194" spans="1:9">
      <c r="A194" s="338" t="s">
        <v>838</v>
      </c>
      <c r="B194" s="338" t="s">
        <v>545</v>
      </c>
      <c r="C194" s="1" t="s">
        <v>7214</v>
      </c>
      <c r="D194" s="7">
        <v>2363</v>
      </c>
      <c r="F194" s="338" t="s">
        <v>7003</v>
      </c>
      <c r="G194" s="1"/>
      <c r="H194" s="19"/>
      <c r="I194" s="1"/>
    </row>
    <row r="195" spans="1:9">
      <c r="A195" s="338" t="s">
        <v>840</v>
      </c>
      <c r="B195" s="338" t="s">
        <v>7215</v>
      </c>
      <c r="C195" s="1" t="s">
        <v>7216</v>
      </c>
      <c r="D195" s="8">
        <v>5212</v>
      </c>
      <c r="F195" s="338" t="s">
        <v>7003</v>
      </c>
      <c r="G195" s="1"/>
      <c r="H195" s="20"/>
      <c r="I195" s="1"/>
    </row>
    <row r="196" spans="1:9">
      <c r="A196" s="338" t="s">
        <v>841</v>
      </c>
      <c r="B196" s="338" t="s">
        <v>7217</v>
      </c>
      <c r="C196" s="1" t="s">
        <v>7218</v>
      </c>
      <c r="D196" s="8">
        <v>4098</v>
      </c>
      <c r="F196" s="338" t="s">
        <v>7003</v>
      </c>
      <c r="G196" s="1"/>
      <c r="H196" s="20"/>
      <c r="I196" s="1"/>
    </row>
    <row r="197" spans="1:9">
      <c r="A197" s="338" t="s">
        <v>878</v>
      </c>
      <c r="B197" s="338" t="s">
        <v>7219</v>
      </c>
      <c r="C197" s="1" t="s">
        <v>7220</v>
      </c>
      <c r="D197" s="8">
        <v>7503</v>
      </c>
      <c r="F197" s="338" t="s">
        <v>7003</v>
      </c>
      <c r="G197" s="1"/>
      <c r="H197" s="20"/>
      <c r="I197" s="1"/>
    </row>
    <row r="198" spans="1:9">
      <c r="A198" s="338" t="s">
        <v>879</v>
      </c>
      <c r="B198" s="338" t="s">
        <v>7221</v>
      </c>
      <c r="C198" s="1" t="s">
        <v>7222</v>
      </c>
      <c r="D198" s="8">
        <v>6495</v>
      </c>
      <c r="F198" s="338" t="s">
        <v>7003</v>
      </c>
      <c r="G198" s="1"/>
      <c r="H198" s="20"/>
      <c r="I198" s="1"/>
    </row>
    <row r="199" spans="1:9">
      <c r="A199" s="338" t="s">
        <v>880</v>
      </c>
      <c r="B199" s="338" t="s">
        <v>7223</v>
      </c>
      <c r="C199" s="1" t="s">
        <v>7224</v>
      </c>
      <c r="D199" s="8">
        <v>5144</v>
      </c>
      <c r="F199" s="338" t="s">
        <v>7010</v>
      </c>
      <c r="G199" s="1"/>
      <c r="H199" s="20"/>
      <c r="I199" s="1"/>
    </row>
    <row r="200" spans="1:9">
      <c r="A200" s="338" t="s">
        <v>721</v>
      </c>
      <c r="B200" s="338" t="s">
        <v>7225</v>
      </c>
      <c r="C200" s="1" t="s">
        <v>7226</v>
      </c>
      <c r="D200" s="8">
        <v>4547</v>
      </c>
      <c r="F200" s="338" t="s">
        <v>7010</v>
      </c>
      <c r="G200" s="1"/>
      <c r="H200" s="20"/>
      <c r="I200" s="1"/>
    </row>
    <row r="201" spans="1:9">
      <c r="A201" s="338" t="s">
        <v>722</v>
      </c>
      <c r="B201" s="338" t="s">
        <v>7227</v>
      </c>
      <c r="C201" s="1" t="s">
        <v>7228</v>
      </c>
      <c r="D201" s="8">
        <v>2342</v>
      </c>
      <c r="F201" s="338" t="s">
        <v>7010</v>
      </c>
      <c r="G201" s="1"/>
      <c r="H201" s="20"/>
      <c r="I201" s="1"/>
    </row>
    <row r="202" spans="1:9">
      <c r="A202" s="338" t="s">
        <v>723</v>
      </c>
      <c r="B202" s="338" t="s">
        <v>7229</v>
      </c>
      <c r="C202" s="1" t="s">
        <v>7230</v>
      </c>
      <c r="D202" s="8">
        <v>4967</v>
      </c>
      <c r="F202" s="338" t="s">
        <v>7003</v>
      </c>
      <c r="H202" s="20"/>
    </row>
    <row r="203" spans="1:9">
      <c r="A203" s="338" t="s">
        <v>733</v>
      </c>
      <c r="B203" s="338" t="s">
        <v>7231</v>
      </c>
      <c r="C203" s="1" t="s">
        <v>7232</v>
      </c>
      <c r="D203" s="8">
        <v>2418</v>
      </c>
      <c r="F203" s="338" t="s">
        <v>7010</v>
      </c>
      <c r="H203" s="20"/>
    </row>
    <row r="204" spans="1:9">
      <c r="A204" s="338" t="s">
        <v>734</v>
      </c>
      <c r="B204" s="338" t="s">
        <v>7233</v>
      </c>
      <c r="C204" s="1" t="s">
        <v>7234</v>
      </c>
      <c r="D204" s="8">
        <v>4786</v>
      </c>
      <c r="F204" s="338" t="s">
        <v>7010</v>
      </c>
      <c r="H204" s="20"/>
    </row>
    <row r="205" spans="1:9">
      <c r="A205" s="338" t="s">
        <v>735</v>
      </c>
      <c r="B205" s="338" t="s">
        <v>7235</v>
      </c>
      <c r="C205" s="1" t="s">
        <v>7236</v>
      </c>
      <c r="D205" s="8">
        <v>8021</v>
      </c>
      <c r="F205" s="338" t="s">
        <v>7010</v>
      </c>
      <c r="H205" s="20"/>
    </row>
    <row r="206" spans="1:9">
      <c r="D206" s="344"/>
    </row>
    <row r="207" spans="1:9">
      <c r="A207" s="338" t="s">
        <v>7003</v>
      </c>
      <c r="D207" s="341">
        <f>SUM(D177:D179)+D183+D184+SUM(D186:D190)+SUM(D192:D198)+D202</f>
        <v>77715</v>
      </c>
    </row>
    <row r="208" spans="1:9">
      <c r="A208" s="338" t="s">
        <v>7062</v>
      </c>
      <c r="D208" s="341">
        <f>D181+D182+D191+SUM(D199:D201)+SUM(D203:D205)</f>
        <v>38042</v>
      </c>
    </row>
    <row r="209" spans="1:9">
      <c r="A209" s="338" t="s">
        <v>7237</v>
      </c>
      <c r="D209" s="341">
        <f>D185</f>
        <v>3593</v>
      </c>
    </row>
    <row r="210" spans="1:9">
      <c r="A210" s="338" t="s">
        <v>7130</v>
      </c>
      <c r="D210" s="341">
        <f>D180</f>
        <v>4723</v>
      </c>
    </row>
    <row r="211" spans="1:9">
      <c r="A211" s="338"/>
      <c r="B211" s="338"/>
      <c r="D211" s="348"/>
    </row>
    <row r="212" spans="1:9">
      <c r="A212" s="339" t="s">
        <v>7238</v>
      </c>
      <c r="B212" s="338"/>
      <c r="D212" s="348"/>
    </row>
    <row r="213" spans="1:9">
      <c r="A213" s="339" t="s">
        <v>7239</v>
      </c>
      <c r="B213" s="338"/>
      <c r="D213" s="348"/>
    </row>
    <row r="214" spans="1:9">
      <c r="A214" s="338"/>
      <c r="B214" s="338"/>
      <c r="D214" s="348"/>
    </row>
    <row r="215" spans="1:9">
      <c r="A215" s="338"/>
      <c r="B215" s="338"/>
      <c r="D215" s="348"/>
    </row>
    <row r="216" spans="1:9">
      <c r="D216" s="10" t="s">
        <v>285</v>
      </c>
      <c r="E216" s="5"/>
      <c r="F216" s="5" t="s">
        <v>4116</v>
      </c>
    </row>
    <row r="217" spans="1:9">
      <c r="D217" s="4">
        <v>2016</v>
      </c>
      <c r="F217" s="6" t="s">
        <v>286</v>
      </c>
    </row>
    <row r="218" spans="1:9">
      <c r="A218" s="338" t="s">
        <v>7240</v>
      </c>
      <c r="D218" s="341">
        <f t="shared" ref="D218" si="26">SUM(D219:D252)</f>
        <v>110289</v>
      </c>
    </row>
    <row r="219" spans="1:9">
      <c r="A219" s="338" t="s">
        <v>812</v>
      </c>
      <c r="B219" s="338" t="s">
        <v>7241</v>
      </c>
      <c r="C219" s="1" t="s">
        <v>7242</v>
      </c>
      <c r="D219" s="8">
        <v>3583</v>
      </c>
      <c r="F219" s="338" t="s">
        <v>7014</v>
      </c>
      <c r="G219" s="1"/>
      <c r="I219" s="1"/>
    </row>
    <row r="220" spans="1:9">
      <c r="A220" s="338" t="s">
        <v>813</v>
      </c>
      <c r="B220" s="338" t="s">
        <v>7243</v>
      </c>
      <c r="C220" s="1" t="s">
        <v>7244</v>
      </c>
      <c r="D220" s="7">
        <v>3638</v>
      </c>
      <c r="F220" s="338" t="s">
        <v>7013</v>
      </c>
      <c r="G220" s="1"/>
      <c r="I220" s="1"/>
    </row>
    <row r="221" spans="1:9">
      <c r="A221" s="338" t="s">
        <v>814</v>
      </c>
      <c r="B221" s="338" t="s">
        <v>5408</v>
      </c>
      <c r="C221" s="1" t="s">
        <v>7245</v>
      </c>
      <c r="D221" s="7">
        <v>1887</v>
      </c>
      <c r="F221" s="338" t="s">
        <v>7013</v>
      </c>
      <c r="G221" s="1"/>
      <c r="I221" s="1"/>
    </row>
    <row r="222" spans="1:9">
      <c r="A222" s="338" t="s">
        <v>815</v>
      </c>
      <c r="B222" s="338" t="s">
        <v>7246</v>
      </c>
      <c r="C222" s="1" t="s">
        <v>7247</v>
      </c>
      <c r="D222" s="7">
        <v>3364</v>
      </c>
      <c r="F222" s="338" t="s">
        <v>7007</v>
      </c>
      <c r="G222" s="1"/>
      <c r="I222" s="1"/>
    </row>
    <row r="223" spans="1:9">
      <c r="A223" s="338" t="s">
        <v>816</v>
      </c>
      <c r="B223" s="338" t="s">
        <v>7248</v>
      </c>
      <c r="C223" s="1" t="s">
        <v>7249</v>
      </c>
      <c r="D223" s="7">
        <v>7462</v>
      </c>
      <c r="F223" s="338" t="s">
        <v>7013</v>
      </c>
      <c r="G223" s="1"/>
      <c r="I223" s="1"/>
    </row>
    <row r="224" spans="1:9">
      <c r="A224" s="338" t="s">
        <v>826</v>
      </c>
      <c r="B224" s="338" t="s">
        <v>7250</v>
      </c>
      <c r="C224" s="1" t="s">
        <v>7251</v>
      </c>
      <c r="D224" s="7">
        <v>1829</v>
      </c>
      <c r="F224" s="338" t="s">
        <v>7013</v>
      </c>
      <c r="G224" s="1"/>
      <c r="I224" s="1"/>
    </row>
    <row r="225" spans="1:9">
      <c r="A225" s="338" t="s">
        <v>827</v>
      </c>
      <c r="B225" s="338" t="s">
        <v>7252</v>
      </c>
      <c r="C225" s="1" t="s">
        <v>7253</v>
      </c>
      <c r="D225" s="7">
        <v>1761</v>
      </c>
      <c r="F225" s="338" t="s">
        <v>7013</v>
      </c>
      <c r="G225" s="1"/>
      <c r="I225" s="1"/>
    </row>
    <row r="226" spans="1:9">
      <c r="A226" s="338" t="s">
        <v>828</v>
      </c>
      <c r="B226" s="338" t="s">
        <v>7254</v>
      </c>
      <c r="C226" s="1" t="s">
        <v>7255</v>
      </c>
      <c r="D226" s="7">
        <v>5954</v>
      </c>
      <c r="F226" s="338" t="s">
        <v>7013</v>
      </c>
      <c r="G226" s="1"/>
      <c r="I226" s="1"/>
    </row>
    <row r="227" spans="1:9">
      <c r="A227" s="338" t="s">
        <v>829</v>
      </c>
      <c r="B227" s="338" t="s">
        <v>7256</v>
      </c>
      <c r="C227" s="1" t="s">
        <v>7257</v>
      </c>
      <c r="D227" s="7">
        <v>2089</v>
      </c>
      <c r="F227" s="338" t="s">
        <v>7013</v>
      </c>
      <c r="G227" s="1"/>
      <c r="I227" s="1"/>
    </row>
    <row r="228" spans="1:9">
      <c r="A228" s="338" t="s">
        <v>830</v>
      </c>
      <c r="B228" s="338" t="s">
        <v>7258</v>
      </c>
      <c r="C228" s="1" t="s">
        <v>7259</v>
      </c>
      <c r="D228" s="7">
        <v>1870</v>
      </c>
      <c r="F228" s="338" t="s">
        <v>7013</v>
      </c>
      <c r="G228" s="1"/>
      <c r="I228" s="1"/>
    </row>
    <row r="229" spans="1:9">
      <c r="A229" s="338" t="s">
        <v>831</v>
      </c>
      <c r="B229" s="338" t="s">
        <v>7260</v>
      </c>
      <c r="C229" s="1" t="s">
        <v>7261</v>
      </c>
      <c r="D229" s="8">
        <v>3608</v>
      </c>
      <c r="F229" s="338" t="s">
        <v>7013</v>
      </c>
      <c r="G229" s="1"/>
      <c r="I229" s="1"/>
    </row>
    <row r="230" spans="1:9">
      <c r="A230" s="338" t="s">
        <v>832</v>
      </c>
      <c r="B230" s="338" t="s">
        <v>7262</v>
      </c>
      <c r="C230" s="1" t="s">
        <v>7263</v>
      </c>
      <c r="D230" s="7">
        <v>3850</v>
      </c>
      <c r="F230" s="338" t="s">
        <v>7013</v>
      </c>
      <c r="G230" s="1"/>
      <c r="I230" s="1"/>
    </row>
    <row r="231" spans="1:9">
      <c r="A231" s="338" t="s">
        <v>833</v>
      </c>
      <c r="B231" s="338" t="s">
        <v>7264</v>
      </c>
      <c r="C231" s="1" t="s">
        <v>7265</v>
      </c>
      <c r="D231" s="7">
        <v>3232</v>
      </c>
      <c r="F231" s="338" t="s">
        <v>7013</v>
      </c>
      <c r="G231" s="1"/>
      <c r="I231" s="1"/>
    </row>
    <row r="232" spans="1:9">
      <c r="A232" s="338" t="s">
        <v>834</v>
      </c>
      <c r="B232" s="338" t="s">
        <v>7266</v>
      </c>
      <c r="C232" s="1" t="s">
        <v>7267</v>
      </c>
      <c r="D232" s="7">
        <v>1995</v>
      </c>
      <c r="F232" s="338" t="s">
        <v>7013</v>
      </c>
      <c r="G232" s="1"/>
      <c r="I232" s="1"/>
    </row>
    <row r="233" spans="1:9">
      <c r="A233" s="338" t="s">
        <v>835</v>
      </c>
      <c r="B233" s="338" t="s">
        <v>7268</v>
      </c>
      <c r="C233" s="1" t="s">
        <v>7269</v>
      </c>
      <c r="D233" s="7">
        <v>1863</v>
      </c>
      <c r="F233" s="338" t="s">
        <v>7013</v>
      </c>
      <c r="G233" s="1"/>
      <c r="I233" s="1"/>
    </row>
    <row r="234" spans="1:9">
      <c r="A234" s="338" t="s">
        <v>836</v>
      </c>
      <c r="B234" s="338" t="s">
        <v>7270</v>
      </c>
      <c r="C234" s="1" t="s">
        <v>7271</v>
      </c>
      <c r="D234" s="7">
        <v>2141</v>
      </c>
      <c r="F234" s="338" t="s">
        <v>7013</v>
      </c>
      <c r="G234" s="1"/>
      <c r="I234" s="1"/>
    </row>
    <row r="235" spans="1:9">
      <c r="A235" s="338" t="s">
        <v>837</v>
      </c>
      <c r="B235" s="338" t="s">
        <v>7272</v>
      </c>
      <c r="C235" s="1" t="s">
        <v>7273</v>
      </c>
      <c r="D235" s="8">
        <v>7640</v>
      </c>
      <c r="F235" s="338" t="s">
        <v>7014</v>
      </c>
      <c r="G235" s="1"/>
      <c r="I235" s="1"/>
    </row>
    <row r="236" spans="1:9">
      <c r="A236" s="338" t="s">
        <v>838</v>
      </c>
      <c r="B236" s="338" t="s">
        <v>4495</v>
      </c>
      <c r="C236" s="1" t="s">
        <v>7274</v>
      </c>
      <c r="D236" s="8">
        <v>3632</v>
      </c>
      <c r="F236" s="338" t="s">
        <v>7013</v>
      </c>
      <c r="G236" s="1"/>
      <c r="I236" s="1"/>
    </row>
    <row r="237" spans="1:9">
      <c r="A237" s="338" t="s">
        <v>840</v>
      </c>
      <c r="B237" s="338" t="s">
        <v>7275</v>
      </c>
      <c r="C237" s="1" t="s">
        <v>7276</v>
      </c>
      <c r="D237" s="7">
        <v>2336</v>
      </c>
      <c r="F237" s="338" t="s">
        <v>7013</v>
      </c>
      <c r="G237" s="1"/>
      <c r="I237" s="1"/>
    </row>
    <row r="238" spans="1:9">
      <c r="A238" s="338" t="s">
        <v>841</v>
      </c>
      <c r="B238" s="338" t="s">
        <v>7277</v>
      </c>
      <c r="C238" s="1" t="s">
        <v>7278</v>
      </c>
      <c r="D238" s="8">
        <v>4170</v>
      </c>
      <c r="F238" s="338" t="s">
        <v>7007</v>
      </c>
      <c r="G238" s="1"/>
      <c r="I238" s="1"/>
    </row>
    <row r="239" spans="1:9">
      <c r="A239" s="338" t="s">
        <v>878</v>
      </c>
      <c r="B239" s="338" t="s">
        <v>7279</v>
      </c>
      <c r="C239" s="1" t="s">
        <v>7280</v>
      </c>
      <c r="D239" s="8">
        <v>2056</v>
      </c>
      <c r="F239" s="338" t="s">
        <v>7013</v>
      </c>
      <c r="G239" s="1"/>
      <c r="I239" s="1"/>
    </row>
    <row r="240" spans="1:9">
      <c r="A240" s="338" t="s">
        <v>879</v>
      </c>
      <c r="B240" s="338" t="s">
        <v>7281</v>
      </c>
      <c r="C240" s="1" t="s">
        <v>7282</v>
      </c>
      <c r="D240" s="8">
        <v>3022</v>
      </c>
      <c r="F240" s="338" t="s">
        <v>7000</v>
      </c>
      <c r="G240" s="1"/>
      <c r="I240" s="1"/>
    </row>
    <row r="241" spans="1:9">
      <c r="A241" s="338" t="s">
        <v>880</v>
      </c>
      <c r="B241" s="338" t="s">
        <v>7283</v>
      </c>
      <c r="C241" s="1" t="s">
        <v>7284</v>
      </c>
      <c r="D241" s="8">
        <v>1892</v>
      </c>
      <c r="F241" s="338" t="s">
        <v>7013</v>
      </c>
      <c r="G241" s="1"/>
      <c r="I241" s="1"/>
    </row>
    <row r="242" spans="1:9">
      <c r="A242" s="338" t="s">
        <v>721</v>
      </c>
      <c r="B242" s="338" t="s">
        <v>7285</v>
      </c>
      <c r="C242" s="1" t="s">
        <v>7286</v>
      </c>
      <c r="D242" s="8">
        <v>4091</v>
      </c>
      <c r="F242" s="338" t="s">
        <v>7013</v>
      </c>
      <c r="G242" s="1"/>
      <c r="I242" s="1"/>
    </row>
    <row r="243" spans="1:9">
      <c r="A243" s="338" t="s">
        <v>722</v>
      </c>
      <c r="B243" s="338" t="s">
        <v>7287</v>
      </c>
      <c r="C243" s="1" t="s">
        <v>7288</v>
      </c>
      <c r="D243" s="8">
        <v>5272</v>
      </c>
      <c r="F243" s="338" t="s">
        <v>7013</v>
      </c>
      <c r="G243" s="1"/>
      <c r="I243" s="1"/>
    </row>
    <row r="244" spans="1:9">
      <c r="A244" s="338" t="s">
        <v>723</v>
      </c>
      <c r="B244" s="338" t="s">
        <v>7289</v>
      </c>
      <c r="C244" s="1" t="s">
        <v>7290</v>
      </c>
      <c r="D244" s="8">
        <v>1827</v>
      </c>
      <c r="F244" s="338" t="s">
        <v>7013</v>
      </c>
      <c r="G244" s="1"/>
      <c r="I244" s="1"/>
    </row>
    <row r="245" spans="1:9">
      <c r="A245" s="338" t="s">
        <v>733</v>
      </c>
      <c r="B245" s="338" t="s">
        <v>7291</v>
      </c>
      <c r="C245" s="1" t="s">
        <v>7292</v>
      </c>
      <c r="D245" s="8">
        <v>1736</v>
      </c>
      <c r="F245" s="338" t="s">
        <v>7014</v>
      </c>
      <c r="G245" s="1"/>
      <c r="I245" s="1"/>
    </row>
    <row r="246" spans="1:9">
      <c r="A246" s="338" t="s">
        <v>734</v>
      </c>
      <c r="B246" s="338" t="s">
        <v>7293</v>
      </c>
      <c r="C246" s="1" t="s">
        <v>7294</v>
      </c>
      <c r="D246" s="8">
        <v>1764</v>
      </c>
      <c r="F246" s="338" t="s">
        <v>7013</v>
      </c>
      <c r="G246" s="1"/>
      <c r="I246" s="1"/>
    </row>
    <row r="247" spans="1:9">
      <c r="A247" s="338" t="s">
        <v>735</v>
      </c>
      <c r="B247" s="338" t="s">
        <v>7295</v>
      </c>
      <c r="C247" s="1" t="s">
        <v>7296</v>
      </c>
      <c r="D247" s="8">
        <v>1888</v>
      </c>
      <c r="F247" s="338" t="s">
        <v>7007</v>
      </c>
      <c r="G247" s="1"/>
      <c r="I247" s="1"/>
    </row>
    <row r="248" spans="1:9">
      <c r="A248" s="338" t="s">
        <v>736</v>
      </c>
      <c r="B248" s="338" t="s">
        <v>7297</v>
      </c>
      <c r="C248" s="1" t="s">
        <v>7298</v>
      </c>
      <c r="D248" s="8">
        <v>5577</v>
      </c>
      <c r="F248" s="338" t="s">
        <v>7013</v>
      </c>
      <c r="G248" s="1"/>
      <c r="I248" s="1"/>
    </row>
    <row r="249" spans="1:9">
      <c r="A249" s="338" t="s">
        <v>931</v>
      </c>
      <c r="B249" s="338" t="s">
        <v>7299</v>
      </c>
      <c r="C249" s="1" t="s">
        <v>7300</v>
      </c>
      <c r="D249" s="8">
        <v>2034</v>
      </c>
      <c r="F249" s="338" t="s">
        <v>7014</v>
      </c>
      <c r="G249" s="1"/>
      <c r="I249" s="1"/>
    </row>
    <row r="250" spans="1:9">
      <c r="A250" s="338" t="s">
        <v>932</v>
      </c>
      <c r="B250" s="338" t="s">
        <v>7301</v>
      </c>
      <c r="C250" s="1" t="s">
        <v>7302</v>
      </c>
      <c r="D250" s="8">
        <v>3936</v>
      </c>
      <c r="F250" s="338" t="s">
        <v>7014</v>
      </c>
      <c r="G250" s="1"/>
      <c r="I250" s="1"/>
    </row>
    <row r="251" spans="1:9">
      <c r="A251" s="338" t="s">
        <v>933</v>
      </c>
      <c r="B251" s="338" t="s">
        <v>7303</v>
      </c>
      <c r="C251" s="1" t="s">
        <v>7304</v>
      </c>
      <c r="D251" s="8">
        <v>2069</v>
      </c>
      <c r="F251" s="338" t="s">
        <v>7013</v>
      </c>
      <c r="G251" s="1"/>
      <c r="I251" s="1"/>
    </row>
    <row r="252" spans="1:9">
      <c r="A252" s="338" t="s">
        <v>934</v>
      </c>
      <c r="B252" s="338" t="s">
        <v>7305</v>
      </c>
      <c r="C252" s="1" t="s">
        <v>7306</v>
      </c>
      <c r="D252" s="8">
        <v>5221</v>
      </c>
      <c r="F252" s="338" t="s">
        <v>7014</v>
      </c>
      <c r="G252" s="1"/>
      <c r="I252" s="1"/>
    </row>
    <row r="253" spans="1:9">
      <c r="D253" s="344"/>
    </row>
    <row r="254" spans="1:9">
      <c r="A254" s="338" t="s">
        <v>7307</v>
      </c>
      <c r="D254" s="344">
        <f>D240</f>
        <v>3022</v>
      </c>
    </row>
    <row r="255" spans="1:9">
      <c r="A255" s="338" t="s">
        <v>7308</v>
      </c>
      <c r="D255" s="344">
        <f>D222+D238+D247</f>
        <v>9422</v>
      </c>
    </row>
    <row r="256" spans="1:9">
      <c r="A256" s="338" t="s">
        <v>7237</v>
      </c>
      <c r="D256" s="341">
        <f>D220+D221+SUM(D223:D234)+D236+D237+D239+SUM(D241:D244)+D246+D248+D251</f>
        <v>73695</v>
      </c>
    </row>
    <row r="257" spans="1:4">
      <c r="A257" s="338" t="s">
        <v>7130</v>
      </c>
      <c r="D257" s="341">
        <f>D219+D235+D245+D249+D250+D252</f>
        <v>24150</v>
      </c>
    </row>
    <row r="259" spans="1:4">
      <c r="A259" s="339" t="s">
        <v>7309</v>
      </c>
    </row>
    <row r="260" spans="1:4">
      <c r="A260" s="339" t="s">
        <v>7310</v>
      </c>
    </row>
  </sheetData>
  <printOptions gridLinesSet="0"/>
  <pageMargins left="0.82677165354330717" right="0" top="0.51181102362204722" bottom="0.51181102362204722" header="0.51181102362204722" footer="0.51181102362204722"/>
  <pageSetup paperSize="9" scale="68" orientation="portrait" horizontalDpi="300" verticalDpi="300" r:id="rId1"/>
  <headerFooter alignWithMargins="0">
    <oddFooter>&amp;C&amp;"Times New Roman,Regular"&amp;8&amp;P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9"/>
  <sheetViews>
    <sheetView showGridLines="0" zoomScaleNormal="100" workbookViewId="0"/>
  </sheetViews>
  <sheetFormatPr defaultColWidth="12.59765625" defaultRowHeight="14.5"/>
  <cols>
    <col min="1" max="1" width="4.8984375" style="448" customWidth="1"/>
    <col min="2" max="2" width="40.69921875" style="448" customWidth="1"/>
    <col min="3" max="3" width="11.59765625" style="448" customWidth="1"/>
    <col min="4" max="4" width="10" style="448" customWidth="1"/>
    <col min="5" max="5" width="2.296875" style="448" customWidth="1"/>
    <col min="6" max="6" width="32.3984375" style="448" customWidth="1"/>
    <col min="7" max="16384" width="12.59765625" style="448"/>
  </cols>
  <sheetData>
    <row r="1" spans="1:6">
      <c r="A1" s="418" t="s">
        <v>9176</v>
      </c>
      <c r="D1" s="449">
        <v>2016</v>
      </c>
    </row>
    <row r="3" spans="1:6">
      <c r="A3" s="418" t="s">
        <v>9409</v>
      </c>
      <c r="D3" s="450">
        <f t="shared" ref="D3" si="0">SUM(D20:D37)</f>
        <v>129978</v>
      </c>
    </row>
    <row r="5" spans="1:6">
      <c r="A5" s="435" t="s">
        <v>9410</v>
      </c>
      <c r="D5" s="451">
        <f>D21+D30</f>
        <v>12482</v>
      </c>
      <c r="F5" s="418" t="s">
        <v>9221</v>
      </c>
    </row>
    <row r="6" spans="1:6">
      <c r="D6" s="451">
        <f>'CITY OF LONDON'!D6</f>
        <v>6158</v>
      </c>
      <c r="F6" s="448" t="s">
        <v>9174</v>
      </c>
    </row>
    <row r="7" spans="1:6" ht="15" thickBot="1">
      <c r="D7" s="452">
        <f>WESTMINSTER!D7</f>
        <v>57053</v>
      </c>
      <c r="F7" s="448" t="s">
        <v>9313</v>
      </c>
    </row>
    <row r="8" spans="1:6" ht="15" thickBot="1">
      <c r="D8" s="453">
        <f>SUM(D5:D7)</f>
        <v>75693</v>
      </c>
    </row>
    <row r="10" spans="1:6">
      <c r="A10" s="418" t="s">
        <v>9220</v>
      </c>
      <c r="D10" s="451">
        <f>BARNET!D13</f>
        <v>19064</v>
      </c>
      <c r="F10" s="448" t="s">
        <v>9217</v>
      </c>
    </row>
    <row r="11" spans="1:6" ht="15" thickBot="1">
      <c r="A11" s="418"/>
      <c r="D11" s="454">
        <f>D20+D24+D25+D27+D29+D32+D36+D37</f>
        <v>56710</v>
      </c>
      <c r="F11" s="418" t="s">
        <v>9221</v>
      </c>
    </row>
    <row r="12" spans="1:6" ht="15" thickBot="1">
      <c r="A12" s="418"/>
      <c r="D12" s="455">
        <f t="shared" ref="D12" si="1">D10+D11</f>
        <v>75774</v>
      </c>
      <c r="F12" s="418"/>
    </row>
    <row r="13" spans="1:6">
      <c r="D13" s="451"/>
    </row>
    <row r="14" spans="1:6">
      <c r="A14" s="418" t="s">
        <v>9411</v>
      </c>
      <c r="D14" s="450">
        <f>D22+D23+D26+D28+D31+SUM(D33:D35)</f>
        <v>60786</v>
      </c>
      <c r="F14" s="418" t="s">
        <v>9221</v>
      </c>
    </row>
    <row r="15" spans="1:6" ht="15" thickBot="1">
      <c r="A15" s="418"/>
      <c r="D15" s="450">
        <f>ISLINGTON!D10</f>
        <v>15899</v>
      </c>
      <c r="F15" s="418" t="s">
        <v>9412</v>
      </c>
    </row>
    <row r="16" spans="1:6" ht="15" thickBot="1">
      <c r="A16" s="418"/>
      <c r="D16" s="455">
        <f t="shared" ref="D16" si="2">D14+D15</f>
        <v>76685</v>
      </c>
      <c r="F16" s="418"/>
    </row>
    <row r="17" spans="1:10">
      <c r="D17" s="451"/>
    </row>
    <row r="18" spans="1:10">
      <c r="A18" s="418" t="s">
        <v>1041</v>
      </c>
      <c r="D18" s="450">
        <f>D5+D11+D14</f>
        <v>129978</v>
      </c>
    </row>
    <row r="19" spans="1:10">
      <c r="D19" s="451"/>
    </row>
    <row r="20" spans="1:10">
      <c r="A20" s="418" t="s">
        <v>812</v>
      </c>
      <c r="B20" s="418" t="s">
        <v>9413</v>
      </c>
      <c r="C20" s="292" t="s">
        <v>9414</v>
      </c>
      <c r="D20" s="316">
        <v>7099</v>
      </c>
      <c r="F20" s="418" t="s">
        <v>9220</v>
      </c>
      <c r="H20" s="292"/>
      <c r="J20" s="292"/>
    </row>
    <row r="21" spans="1:10">
      <c r="A21" s="418" t="s">
        <v>813</v>
      </c>
      <c r="B21" s="418" t="s">
        <v>9415</v>
      </c>
      <c r="C21" s="292" t="s">
        <v>9416</v>
      </c>
      <c r="D21" s="316">
        <v>5016</v>
      </c>
      <c r="F21" s="435" t="s">
        <v>9410</v>
      </c>
      <c r="H21" s="292"/>
      <c r="J21" s="292"/>
    </row>
    <row r="22" spans="1:10">
      <c r="A22" s="418" t="s">
        <v>814</v>
      </c>
      <c r="B22" s="418" t="s">
        <v>9417</v>
      </c>
      <c r="C22" s="292" t="s">
        <v>9418</v>
      </c>
      <c r="D22" s="316">
        <v>7929</v>
      </c>
      <c r="F22" s="418" t="s">
        <v>9411</v>
      </c>
      <c r="H22" s="292"/>
      <c r="J22" s="292"/>
    </row>
    <row r="23" spans="1:10">
      <c r="A23" s="418" t="s">
        <v>815</v>
      </c>
      <c r="B23" s="418" t="s">
        <v>9419</v>
      </c>
      <c r="C23" s="292" t="s">
        <v>9420</v>
      </c>
      <c r="D23" s="316">
        <v>7429</v>
      </c>
      <c r="F23" s="418" t="s">
        <v>9411</v>
      </c>
      <c r="H23" s="292"/>
      <c r="J23" s="292"/>
    </row>
    <row r="24" spans="1:10">
      <c r="A24" s="418" t="s">
        <v>816</v>
      </c>
      <c r="B24" s="418" t="s">
        <v>9421</v>
      </c>
      <c r="C24" s="292" t="s">
        <v>9422</v>
      </c>
      <c r="D24" s="316">
        <v>7116</v>
      </c>
      <c r="F24" s="418" t="s">
        <v>9220</v>
      </c>
      <c r="H24" s="292"/>
      <c r="J24" s="292"/>
    </row>
    <row r="25" spans="1:10">
      <c r="A25" s="418" t="s">
        <v>826</v>
      </c>
      <c r="B25" s="418" t="s">
        <v>9423</v>
      </c>
      <c r="C25" s="292" t="s">
        <v>9424</v>
      </c>
      <c r="D25" s="316">
        <v>6160</v>
      </c>
      <c r="F25" s="418" t="s">
        <v>9220</v>
      </c>
      <c r="H25" s="292"/>
      <c r="J25" s="292"/>
    </row>
    <row r="26" spans="1:10">
      <c r="A26" s="418" t="s">
        <v>827</v>
      </c>
      <c r="B26" s="418" t="s">
        <v>9425</v>
      </c>
      <c r="C26" s="292" t="s">
        <v>9426</v>
      </c>
      <c r="D26" s="316">
        <v>7232</v>
      </c>
      <c r="F26" s="418" t="s">
        <v>9411</v>
      </c>
      <c r="H26" s="292"/>
      <c r="J26" s="292"/>
    </row>
    <row r="27" spans="1:10">
      <c r="A27" s="418" t="s">
        <v>828</v>
      </c>
      <c r="B27" s="418" t="s">
        <v>9427</v>
      </c>
      <c r="C27" s="292" t="s">
        <v>9428</v>
      </c>
      <c r="D27" s="316">
        <v>6609</v>
      </c>
      <c r="F27" s="418" t="s">
        <v>9220</v>
      </c>
      <c r="H27" s="292"/>
      <c r="J27" s="292"/>
    </row>
    <row r="28" spans="1:10">
      <c r="A28" s="418" t="s">
        <v>829</v>
      </c>
      <c r="B28" s="418" t="s">
        <v>9429</v>
      </c>
      <c r="C28" s="292" t="s">
        <v>9430</v>
      </c>
      <c r="D28" s="316">
        <v>7751</v>
      </c>
      <c r="F28" s="418" t="s">
        <v>9411</v>
      </c>
      <c r="H28" s="292"/>
      <c r="J28" s="292"/>
    </row>
    <row r="29" spans="1:10">
      <c r="A29" s="418" t="s">
        <v>830</v>
      </c>
      <c r="B29" s="418" t="s">
        <v>9431</v>
      </c>
      <c r="C29" s="292" t="s">
        <v>9432</v>
      </c>
      <c r="D29" s="316">
        <v>7653</v>
      </c>
      <c r="F29" s="418" t="s">
        <v>9220</v>
      </c>
      <c r="H29" s="292"/>
      <c r="J29" s="292"/>
    </row>
    <row r="30" spans="1:10">
      <c r="A30" s="418" t="s">
        <v>831</v>
      </c>
      <c r="B30" s="418" t="s">
        <v>9433</v>
      </c>
      <c r="C30" s="292" t="s">
        <v>9434</v>
      </c>
      <c r="D30" s="316">
        <v>7466</v>
      </c>
      <c r="F30" s="435" t="s">
        <v>9410</v>
      </c>
      <c r="H30" s="292"/>
      <c r="J30" s="292"/>
    </row>
    <row r="31" spans="1:10">
      <c r="A31" s="418" t="s">
        <v>832</v>
      </c>
      <c r="B31" s="418" t="s">
        <v>9435</v>
      </c>
      <c r="C31" s="292" t="s">
        <v>9436</v>
      </c>
      <c r="D31" s="316">
        <v>8619</v>
      </c>
      <c r="F31" s="418" t="s">
        <v>9411</v>
      </c>
      <c r="H31" s="292"/>
      <c r="J31" s="292"/>
    </row>
    <row r="32" spans="1:10">
      <c r="A32" s="418" t="s">
        <v>833</v>
      </c>
      <c r="B32" s="418" t="s">
        <v>9334</v>
      </c>
      <c r="C32" s="292" t="s">
        <v>9437</v>
      </c>
      <c r="D32" s="316">
        <v>7369</v>
      </c>
      <c r="F32" s="418" t="s">
        <v>9220</v>
      </c>
      <c r="H32" s="292"/>
      <c r="J32" s="292"/>
    </row>
    <row r="33" spans="1:10">
      <c r="A33" s="418" t="s">
        <v>834</v>
      </c>
      <c r="B33" s="418" t="s">
        <v>9438</v>
      </c>
      <c r="C33" s="292" t="s">
        <v>9439</v>
      </c>
      <c r="D33" s="316">
        <v>5625</v>
      </c>
      <c r="F33" s="418" t="s">
        <v>9411</v>
      </c>
      <c r="H33" s="292"/>
      <c r="J33" s="292"/>
    </row>
    <row r="34" spans="1:10">
      <c r="A34" s="418" t="s">
        <v>835</v>
      </c>
      <c r="B34" s="418" t="s">
        <v>9440</v>
      </c>
      <c r="C34" s="292" t="s">
        <v>9441</v>
      </c>
      <c r="D34" s="316">
        <v>7590</v>
      </c>
      <c r="F34" s="418" t="s">
        <v>9411</v>
      </c>
      <c r="H34" s="292"/>
      <c r="J34" s="292"/>
    </row>
    <row r="35" spans="1:10">
      <c r="A35" s="418" t="s">
        <v>836</v>
      </c>
      <c r="B35" s="418" t="s">
        <v>9442</v>
      </c>
      <c r="C35" s="292" t="s">
        <v>9443</v>
      </c>
      <c r="D35" s="316">
        <v>8611</v>
      </c>
      <c r="F35" s="418" t="s">
        <v>9411</v>
      </c>
      <c r="H35" s="292"/>
      <c r="J35" s="292"/>
    </row>
    <row r="36" spans="1:10">
      <c r="A36" s="418" t="s">
        <v>837</v>
      </c>
      <c r="B36" s="418" t="s">
        <v>9444</v>
      </c>
      <c r="C36" s="292" t="s">
        <v>9445</v>
      </c>
      <c r="D36" s="316">
        <v>7459</v>
      </c>
      <c r="F36" s="418" t="s">
        <v>9220</v>
      </c>
      <c r="H36" s="292"/>
      <c r="J36" s="292"/>
    </row>
    <row r="37" spans="1:10">
      <c r="A37" s="418" t="s">
        <v>838</v>
      </c>
      <c r="B37" s="418" t="s">
        <v>9446</v>
      </c>
      <c r="C37" s="292" t="s">
        <v>9447</v>
      </c>
      <c r="D37" s="316">
        <v>7245</v>
      </c>
      <c r="F37" s="418" t="s">
        <v>9220</v>
      </c>
      <c r="H37" s="292"/>
      <c r="J37" s="292"/>
    </row>
    <row r="39" spans="1:10">
      <c r="A39" s="448" t="s">
        <v>9448</v>
      </c>
    </row>
  </sheetData>
  <printOptions gridLinesSet="0"/>
  <pageMargins left="0.78740157480314965" right="0" top="0.51181102362204722" bottom="0.51181102362204722" header="0.51181102362204722" footer="0.51181102362204722"/>
  <pageSetup paperSize="9" scale="70" orientation="portrait" horizontalDpi="300" verticalDpi="300" r:id="rId1"/>
  <headerFooter alignWithMargins="0">
    <oddFooter>&amp;C&amp;"Times New Roman,Regular"&amp;8&amp;P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65"/>
  <sheetViews>
    <sheetView showGridLines="0" zoomScaleNormal="100" workbookViewId="0"/>
  </sheetViews>
  <sheetFormatPr defaultColWidth="12.59765625" defaultRowHeight="14.5"/>
  <cols>
    <col min="1" max="1" width="4.69921875" style="689" customWidth="1"/>
    <col min="2" max="2" width="44.59765625" style="689" customWidth="1"/>
    <col min="3" max="3" width="11.59765625" style="689" customWidth="1"/>
    <col min="4" max="4" width="10" style="689" customWidth="1"/>
    <col min="5" max="5" width="2.296875" style="689" customWidth="1"/>
    <col min="6" max="6" width="29.3984375" style="689" customWidth="1"/>
    <col min="7" max="7" width="10.296875" style="689" customWidth="1"/>
    <col min="8" max="16384" width="12.59765625" style="689"/>
  </cols>
  <sheetData>
    <row r="1" spans="1:6">
      <c r="A1" s="688" t="s">
        <v>1075</v>
      </c>
      <c r="D1" s="690">
        <v>2016</v>
      </c>
    </row>
    <row r="3" spans="1:6">
      <c r="A3" s="688" t="s">
        <v>11695</v>
      </c>
      <c r="C3" s="688"/>
      <c r="D3" s="691">
        <f t="shared" ref="D3" si="0">D51</f>
        <v>270905</v>
      </c>
    </row>
    <row r="4" spans="1:6">
      <c r="A4" s="688" t="s">
        <v>11696</v>
      </c>
      <c r="C4" s="688"/>
      <c r="D4" s="691">
        <f t="shared" ref="D4" si="1">D117</f>
        <v>256498</v>
      </c>
    </row>
    <row r="5" spans="1:6">
      <c r="A5" s="688" t="s">
        <v>11697</v>
      </c>
      <c r="C5" s="688"/>
      <c r="D5" s="692">
        <f t="shared" ref="D5" si="2">D176</f>
        <v>92958</v>
      </c>
    </row>
    <row r="6" spans="1:6" ht="15" thickBot="1">
      <c r="A6" s="688" t="s">
        <v>11698</v>
      </c>
      <c r="D6" s="693">
        <f>D207</f>
        <v>152989</v>
      </c>
    </row>
    <row r="7" spans="1:6" ht="15" thickBot="1">
      <c r="A7" s="2"/>
      <c r="B7" s="2"/>
      <c r="C7" s="2"/>
      <c r="D7" s="68">
        <f>SUM(D3:D6)</f>
        <v>773350</v>
      </c>
      <c r="E7" s="2"/>
    </row>
    <row r="8" spans="1:6">
      <c r="A8" s="2"/>
      <c r="B8" s="2"/>
      <c r="C8" s="2"/>
      <c r="D8" s="3"/>
      <c r="E8" s="2"/>
      <c r="F8" s="2"/>
    </row>
    <row r="9" spans="1:6">
      <c r="A9" s="512" t="s">
        <v>11699</v>
      </c>
      <c r="B9" s="2"/>
      <c r="C9" s="2"/>
      <c r="D9" s="3">
        <f>D105</f>
        <v>16608</v>
      </c>
      <c r="E9" s="2"/>
      <c r="F9" s="688" t="s">
        <v>11700</v>
      </c>
    </row>
    <row r="10" spans="1:6" ht="15" thickBot="1">
      <c r="A10" s="2"/>
      <c r="B10" s="2"/>
      <c r="C10" s="2"/>
      <c r="D10" s="68">
        <f>'GREATER MANCHESTER'!D17</f>
        <v>61039</v>
      </c>
      <c r="E10" s="2"/>
      <c r="F10" s="2" t="s">
        <v>11701</v>
      </c>
    </row>
    <row r="11" spans="1:6" ht="15" thickBot="1">
      <c r="A11" s="2"/>
      <c r="B11" s="2"/>
      <c r="C11" s="2"/>
      <c r="D11" s="693">
        <f t="shared" ref="D11" si="3">D9+D10</f>
        <v>77647</v>
      </c>
      <c r="E11" s="2"/>
      <c r="F11" s="2"/>
    </row>
    <row r="12" spans="1:6">
      <c r="A12" s="2"/>
      <c r="B12" s="2"/>
      <c r="C12" s="2"/>
      <c r="D12" s="3"/>
      <c r="E12" s="2"/>
      <c r="F12" s="2"/>
    </row>
    <row r="13" spans="1:6">
      <c r="A13" s="512" t="s">
        <v>11702</v>
      </c>
      <c r="B13" s="2"/>
      <c r="C13" s="2"/>
      <c r="D13" s="3">
        <f>D106</f>
        <v>26109</v>
      </c>
      <c r="E13" s="2"/>
      <c r="F13" s="688" t="s">
        <v>11700</v>
      </c>
    </row>
    <row r="14" spans="1:6" ht="15" thickBot="1">
      <c r="A14" s="2"/>
      <c r="B14" s="2"/>
      <c r="C14" s="2"/>
      <c r="D14" s="68">
        <f>'GREATER MANCHESTER'!D33</f>
        <v>49997</v>
      </c>
      <c r="E14" s="2"/>
      <c r="F14" s="512" t="s">
        <v>11703</v>
      </c>
    </row>
    <row r="15" spans="1:6" ht="15" thickBot="1">
      <c r="A15" s="2"/>
      <c r="B15" s="2"/>
      <c r="C15" s="2"/>
      <c r="D15" s="693">
        <f t="shared" ref="D15" si="4">D13+D14</f>
        <v>76106</v>
      </c>
      <c r="E15" s="2"/>
      <c r="F15" s="2"/>
    </row>
    <row r="16" spans="1:6">
      <c r="A16" s="2"/>
      <c r="B16" s="2"/>
      <c r="C16" s="2"/>
      <c r="D16" s="3"/>
      <c r="E16" s="2"/>
      <c r="F16" s="2"/>
    </row>
    <row r="17" spans="1:6">
      <c r="A17" s="688" t="s">
        <v>11704</v>
      </c>
      <c r="D17" s="691">
        <f t="shared" ref="D17" si="5">D165</f>
        <v>73723</v>
      </c>
      <c r="F17" s="688" t="s">
        <v>11705</v>
      </c>
    </row>
    <row r="18" spans="1:6">
      <c r="D18" s="694"/>
    </row>
    <row r="19" spans="1:6">
      <c r="A19" s="688" t="s">
        <v>11706</v>
      </c>
      <c r="D19" s="691">
        <f t="shared" ref="D19" si="6">D107</f>
        <v>71287</v>
      </c>
      <c r="F19" s="688" t="s">
        <v>11700</v>
      </c>
    </row>
    <row r="20" spans="1:6">
      <c r="D20" s="694"/>
    </row>
    <row r="21" spans="1:6">
      <c r="A21" s="688" t="s">
        <v>11707</v>
      </c>
      <c r="D21" s="691">
        <f t="shared" ref="D21" si="7">D108</f>
        <v>72326</v>
      </c>
      <c r="F21" s="688" t="s">
        <v>11700</v>
      </c>
    </row>
    <row r="22" spans="1:6">
      <c r="D22" s="694"/>
    </row>
    <row r="23" spans="1:6">
      <c r="A23" s="688" t="s">
        <v>11708</v>
      </c>
      <c r="D23" s="691">
        <f t="shared" ref="D23" si="8">D109</f>
        <v>10879</v>
      </c>
      <c r="F23" s="688" t="s">
        <v>11700</v>
      </c>
    </row>
    <row r="24" spans="1:6" ht="15" thickBot="1">
      <c r="D24" s="693">
        <f t="shared" ref="D24" si="9">D166</f>
        <v>60869</v>
      </c>
      <c r="F24" s="688" t="s">
        <v>11705</v>
      </c>
    </row>
    <row r="25" spans="1:6" ht="15" thickBot="1">
      <c r="D25" s="693">
        <f t="shared" ref="D25" si="10">D23+D24</f>
        <v>71748</v>
      </c>
    </row>
    <row r="26" spans="1:6">
      <c r="D26" s="694"/>
    </row>
    <row r="27" spans="1:6">
      <c r="A27" s="688" t="s">
        <v>11709</v>
      </c>
      <c r="D27" s="691">
        <f t="shared" ref="D27" si="11">D167</f>
        <v>66156</v>
      </c>
      <c r="F27" s="688" t="s">
        <v>11705</v>
      </c>
    </row>
    <row r="28" spans="1:6" ht="15" thickBot="1">
      <c r="A28" s="688"/>
      <c r="D28" s="693">
        <f>MERSEYSIDE!D20</f>
        <v>10872</v>
      </c>
      <c r="F28" s="688" t="s">
        <v>11710</v>
      </c>
    </row>
    <row r="29" spans="1:6" ht="15" thickBot="1">
      <c r="A29" s="688"/>
      <c r="D29" s="693">
        <f t="shared" ref="D29" si="12">D27+D28</f>
        <v>77028</v>
      </c>
      <c r="F29" s="688"/>
    </row>
    <row r="30" spans="1:6">
      <c r="D30" s="694"/>
    </row>
    <row r="31" spans="1:6">
      <c r="A31" s="688" t="s">
        <v>11711</v>
      </c>
      <c r="D31" s="691">
        <f t="shared" ref="D31" si="13">D199</f>
        <v>75381</v>
      </c>
      <c r="F31" s="688" t="s">
        <v>11712</v>
      </c>
    </row>
    <row r="32" spans="1:6">
      <c r="D32" s="694"/>
    </row>
    <row r="33" spans="1:6">
      <c r="A33" s="688" t="s">
        <v>11713</v>
      </c>
      <c r="D33" s="691">
        <f t="shared" ref="D33" si="14">D110</f>
        <v>73696</v>
      </c>
      <c r="F33" s="688" t="s">
        <v>11700</v>
      </c>
    </row>
    <row r="34" spans="1:6">
      <c r="D34" s="694"/>
    </row>
    <row r="35" spans="1:6">
      <c r="A35" s="688" t="s">
        <v>11714</v>
      </c>
      <c r="D35" s="694">
        <f>D231</f>
        <v>76183</v>
      </c>
      <c r="F35" s="688" t="s">
        <v>11715</v>
      </c>
    </row>
    <row r="36" spans="1:6">
      <c r="D36" s="694"/>
    </row>
    <row r="37" spans="1:6">
      <c r="A37" s="688" t="s">
        <v>11716</v>
      </c>
      <c r="D37" s="694">
        <f>D232</f>
        <v>76806</v>
      </c>
      <c r="F37" s="688" t="s">
        <v>11715</v>
      </c>
    </row>
    <row r="38" spans="1:6">
      <c r="D38" s="692"/>
    </row>
    <row r="39" spans="1:6">
      <c r="A39" s="688" t="s">
        <v>11717</v>
      </c>
      <c r="D39" s="691">
        <f t="shared" ref="D39" si="15">D200</f>
        <v>17577</v>
      </c>
      <c r="F39" s="688" t="s">
        <v>11712</v>
      </c>
    </row>
    <row r="40" spans="1:6" ht="15" thickBot="1">
      <c r="D40" s="693">
        <f t="shared" ref="D40" si="16">D169</f>
        <v>55750</v>
      </c>
      <c r="F40" s="688" t="s">
        <v>11705</v>
      </c>
    </row>
    <row r="41" spans="1:6" ht="15" thickBot="1">
      <c r="D41" s="693">
        <f t="shared" ref="D41" si="17">D39+D40</f>
        <v>73327</v>
      </c>
    </row>
    <row r="42" spans="1:6">
      <c r="D42" s="694"/>
    </row>
    <row r="43" spans="1:6">
      <c r="A43" s="688" t="s">
        <v>1041</v>
      </c>
      <c r="D43" s="691">
        <f>D9+D13+D17+D19+D21+D25+D27+D31+D33+D35+D37+D41</f>
        <v>773350</v>
      </c>
    </row>
    <row r="44" spans="1:6">
      <c r="D44" s="694"/>
    </row>
    <row r="45" spans="1:6">
      <c r="A45" s="688" t="s">
        <v>11718</v>
      </c>
      <c r="D45" s="695"/>
    </row>
    <row r="46" spans="1:6">
      <c r="A46" s="688" t="s">
        <v>11719</v>
      </c>
      <c r="D46" s="695"/>
    </row>
    <row r="47" spans="1:6">
      <c r="A47" s="688"/>
      <c r="D47" s="695"/>
    </row>
    <row r="48" spans="1:6">
      <c r="A48" s="688"/>
      <c r="D48" s="695"/>
    </row>
    <row r="49" spans="1:9">
      <c r="D49" s="4" t="s">
        <v>285</v>
      </c>
      <c r="E49" s="5"/>
      <c r="F49" s="38" t="s">
        <v>4116</v>
      </c>
    </row>
    <row r="50" spans="1:9">
      <c r="D50" s="689">
        <v>2016</v>
      </c>
      <c r="F50" s="6" t="s">
        <v>286</v>
      </c>
    </row>
    <row r="51" spans="1:9">
      <c r="A51" s="688" t="s">
        <v>11720</v>
      </c>
      <c r="C51" s="688"/>
      <c r="D51" s="691">
        <f>SUM(D52:D103)</f>
        <v>270905</v>
      </c>
    </row>
    <row r="52" spans="1:9">
      <c r="A52" s="696">
        <v>1</v>
      </c>
      <c r="B52" s="688" t="s">
        <v>11721</v>
      </c>
      <c r="C52" s="267" t="s">
        <v>11722</v>
      </c>
      <c r="D52" s="13">
        <v>3425</v>
      </c>
      <c r="F52" s="688" t="s">
        <v>11713</v>
      </c>
      <c r="G52" s="1"/>
      <c r="I52" s="1"/>
    </row>
    <row r="53" spans="1:9">
      <c r="A53" s="696">
        <v>2</v>
      </c>
      <c r="B53" s="688" t="s">
        <v>11723</v>
      </c>
      <c r="C53" s="267" t="s">
        <v>11724</v>
      </c>
      <c r="D53" s="13">
        <v>8998</v>
      </c>
      <c r="F53" s="688" t="s">
        <v>11706</v>
      </c>
      <c r="G53" s="1"/>
      <c r="I53" s="1"/>
    </row>
    <row r="54" spans="1:9">
      <c r="A54" s="696">
        <v>3</v>
      </c>
      <c r="B54" s="688" t="s">
        <v>11725</v>
      </c>
      <c r="C54" s="267" t="s">
        <v>11726</v>
      </c>
      <c r="D54" s="13">
        <v>3715</v>
      </c>
      <c r="F54" s="688" t="s">
        <v>11708</v>
      </c>
      <c r="G54" s="1"/>
      <c r="I54" s="1"/>
    </row>
    <row r="55" spans="1:9">
      <c r="A55" s="696">
        <v>4</v>
      </c>
      <c r="B55" s="688" t="s">
        <v>11727</v>
      </c>
      <c r="C55" s="267" t="s">
        <v>11728</v>
      </c>
      <c r="D55" s="13">
        <v>6298</v>
      </c>
      <c r="F55" s="688" t="s">
        <v>11713</v>
      </c>
      <c r="G55" s="1"/>
      <c r="I55" s="1"/>
    </row>
    <row r="56" spans="1:9">
      <c r="A56" s="696">
        <v>5</v>
      </c>
      <c r="B56" s="688" t="s">
        <v>11729</v>
      </c>
      <c r="C56" s="267" t="s">
        <v>11730</v>
      </c>
      <c r="D56" s="13">
        <v>3797</v>
      </c>
      <c r="F56" s="688" t="s">
        <v>11706</v>
      </c>
      <c r="G56" s="1"/>
      <c r="I56" s="1"/>
    </row>
    <row r="57" spans="1:9">
      <c r="A57" s="696">
        <v>6</v>
      </c>
      <c r="B57" s="688" t="s">
        <v>11731</v>
      </c>
      <c r="C57" s="267" t="s">
        <v>11732</v>
      </c>
      <c r="D57" s="13">
        <v>6408</v>
      </c>
      <c r="F57" s="688" t="s">
        <v>11713</v>
      </c>
      <c r="G57" s="1"/>
      <c r="I57" s="1"/>
    </row>
    <row r="58" spans="1:9">
      <c r="A58" s="696">
        <v>7</v>
      </c>
      <c r="B58" s="688" t="s">
        <v>11733</v>
      </c>
      <c r="C58" s="267" t="s">
        <v>11734</v>
      </c>
      <c r="D58" s="13">
        <v>3530</v>
      </c>
      <c r="F58" s="688" t="s">
        <v>11708</v>
      </c>
      <c r="G58" s="1"/>
      <c r="I58" s="1"/>
    </row>
    <row r="59" spans="1:9">
      <c r="A59" s="696">
        <v>8</v>
      </c>
      <c r="B59" s="688" t="s">
        <v>11735</v>
      </c>
      <c r="C59" s="267" t="s">
        <v>11736</v>
      </c>
      <c r="D59" s="13">
        <v>3169</v>
      </c>
      <c r="F59" s="688" t="s">
        <v>11713</v>
      </c>
      <c r="G59" s="1"/>
      <c r="I59" s="1"/>
    </row>
    <row r="60" spans="1:9">
      <c r="A60" s="696">
        <v>9</v>
      </c>
      <c r="B60" s="688" t="s">
        <v>11737</v>
      </c>
      <c r="C60" s="267" t="s">
        <v>11738</v>
      </c>
      <c r="D60" s="13">
        <v>10104</v>
      </c>
      <c r="F60" s="688" t="s">
        <v>11706</v>
      </c>
      <c r="G60" s="1"/>
      <c r="I60" s="1"/>
    </row>
    <row r="61" spans="1:9">
      <c r="A61" s="696">
        <v>10</v>
      </c>
      <c r="B61" s="688" t="s">
        <v>11739</v>
      </c>
      <c r="C61" s="267" t="s">
        <v>11740</v>
      </c>
      <c r="D61" s="13">
        <v>10053</v>
      </c>
      <c r="F61" s="688" t="s">
        <v>11706</v>
      </c>
      <c r="G61" s="1"/>
      <c r="I61" s="1"/>
    </row>
    <row r="62" spans="1:9">
      <c r="A62" s="696">
        <v>11</v>
      </c>
      <c r="B62" s="688" t="s">
        <v>11741</v>
      </c>
      <c r="C62" s="267" t="s">
        <v>11742</v>
      </c>
      <c r="D62" s="13">
        <v>2863</v>
      </c>
      <c r="F62" s="688" t="s">
        <v>11707</v>
      </c>
      <c r="G62" s="1"/>
      <c r="I62" s="1"/>
    </row>
    <row r="63" spans="1:9">
      <c r="A63" s="696">
        <v>12</v>
      </c>
      <c r="B63" s="688" t="s">
        <v>11743</v>
      </c>
      <c r="C63" s="267" t="s">
        <v>11744</v>
      </c>
      <c r="D63" s="13">
        <v>9429</v>
      </c>
      <c r="F63" s="688" t="s">
        <v>11707</v>
      </c>
      <c r="G63" s="1"/>
      <c r="I63" s="1"/>
    </row>
    <row r="64" spans="1:9">
      <c r="A64" s="696">
        <v>13</v>
      </c>
      <c r="B64" s="688" t="s">
        <v>11745</v>
      </c>
      <c r="C64" s="267" t="s">
        <v>11746</v>
      </c>
      <c r="D64" s="13">
        <v>3202</v>
      </c>
      <c r="F64" s="688" t="s">
        <v>11707</v>
      </c>
      <c r="G64" s="1"/>
      <c r="I64" s="1"/>
    </row>
    <row r="65" spans="1:9">
      <c r="A65" s="696">
        <v>14</v>
      </c>
      <c r="B65" s="688" t="s">
        <v>11747</v>
      </c>
      <c r="C65" s="267" t="s">
        <v>11748</v>
      </c>
      <c r="D65" s="13">
        <v>2963</v>
      </c>
      <c r="F65" s="688" t="s">
        <v>11707</v>
      </c>
      <c r="G65" s="1"/>
      <c r="I65" s="1"/>
    </row>
    <row r="66" spans="1:9">
      <c r="A66" s="696">
        <v>15</v>
      </c>
      <c r="B66" s="688" t="s">
        <v>11749</v>
      </c>
      <c r="C66" s="267" t="s">
        <v>11750</v>
      </c>
      <c r="D66" s="13">
        <v>6307</v>
      </c>
      <c r="F66" s="688" t="s">
        <v>11707</v>
      </c>
      <c r="G66" s="1"/>
      <c r="I66" s="1"/>
    </row>
    <row r="67" spans="1:9">
      <c r="A67" s="696">
        <v>16</v>
      </c>
      <c r="B67" s="688" t="s">
        <v>11751</v>
      </c>
      <c r="C67" s="267" t="s">
        <v>11752</v>
      </c>
      <c r="D67" s="13">
        <v>6527</v>
      </c>
      <c r="F67" s="688" t="s">
        <v>11707</v>
      </c>
      <c r="G67" s="1"/>
      <c r="I67" s="1"/>
    </row>
    <row r="68" spans="1:9">
      <c r="A68" s="696">
        <v>17</v>
      </c>
      <c r="B68" s="688" t="s">
        <v>11753</v>
      </c>
      <c r="C68" s="267" t="s">
        <v>11754</v>
      </c>
      <c r="D68" s="13">
        <v>7416</v>
      </c>
      <c r="F68" s="688" t="s">
        <v>11706</v>
      </c>
      <c r="G68" s="1"/>
      <c r="I68" s="1"/>
    </row>
    <row r="69" spans="1:9">
      <c r="A69" s="696">
        <v>18</v>
      </c>
      <c r="B69" s="688" t="s">
        <v>11755</v>
      </c>
      <c r="C69" s="267" t="s">
        <v>11756</v>
      </c>
      <c r="D69" s="13">
        <v>3485</v>
      </c>
      <c r="F69" s="512" t="s">
        <v>11702</v>
      </c>
      <c r="G69" s="1"/>
      <c r="I69" s="1"/>
    </row>
    <row r="70" spans="1:9">
      <c r="A70" s="696">
        <v>19</v>
      </c>
      <c r="B70" s="688" t="s">
        <v>11757</v>
      </c>
      <c r="C70" s="267" t="s">
        <v>11758</v>
      </c>
      <c r="D70" s="13">
        <v>3079</v>
      </c>
      <c r="F70" s="688" t="s">
        <v>11713</v>
      </c>
      <c r="G70" s="1"/>
      <c r="I70" s="1"/>
    </row>
    <row r="71" spans="1:9">
      <c r="A71" s="696">
        <v>20</v>
      </c>
      <c r="B71" s="688" t="s">
        <v>11759</v>
      </c>
      <c r="C71" s="267" t="s">
        <v>11760</v>
      </c>
      <c r="D71" s="13">
        <v>6709</v>
      </c>
      <c r="F71" s="688" t="s">
        <v>11702</v>
      </c>
      <c r="G71" s="1"/>
      <c r="I71" s="1"/>
    </row>
    <row r="72" spans="1:9">
      <c r="A72" s="696">
        <v>21</v>
      </c>
      <c r="B72" s="688" t="s">
        <v>11761</v>
      </c>
      <c r="C72" s="267" t="s">
        <v>11762</v>
      </c>
      <c r="D72" s="13">
        <v>6240</v>
      </c>
      <c r="F72" s="688" t="s">
        <v>11707</v>
      </c>
      <c r="G72" s="1"/>
      <c r="I72" s="1"/>
    </row>
    <row r="73" spans="1:9">
      <c r="A73" s="696">
        <v>22</v>
      </c>
      <c r="B73" s="688" t="s">
        <v>11763</v>
      </c>
      <c r="C73" s="267" t="s">
        <v>11764</v>
      </c>
      <c r="D73" s="13">
        <v>3349</v>
      </c>
      <c r="F73" s="512" t="s">
        <v>11699</v>
      </c>
      <c r="G73" s="1"/>
      <c r="I73" s="1"/>
    </row>
    <row r="74" spans="1:9">
      <c r="A74" s="696">
        <v>23</v>
      </c>
      <c r="B74" s="688" t="s">
        <v>11765</v>
      </c>
      <c r="C74" s="267" t="s">
        <v>11766</v>
      </c>
      <c r="D74" s="13">
        <v>9902</v>
      </c>
      <c r="F74" s="512" t="s">
        <v>11699</v>
      </c>
      <c r="G74" s="1"/>
      <c r="I74" s="1"/>
    </row>
    <row r="75" spans="1:9">
      <c r="A75" s="696">
        <v>24</v>
      </c>
      <c r="B75" s="688" t="s">
        <v>11767</v>
      </c>
      <c r="C75" s="267" t="s">
        <v>11768</v>
      </c>
      <c r="D75" s="13">
        <v>3889</v>
      </c>
      <c r="F75" s="688" t="s">
        <v>11707</v>
      </c>
      <c r="G75" s="1"/>
      <c r="I75" s="1"/>
    </row>
    <row r="76" spans="1:9">
      <c r="A76" s="696">
        <v>25</v>
      </c>
      <c r="B76" s="688" t="s">
        <v>11769</v>
      </c>
      <c r="C76" s="267" t="s">
        <v>11770</v>
      </c>
      <c r="D76" s="13">
        <v>6102</v>
      </c>
      <c r="F76" s="688" t="s">
        <v>11713</v>
      </c>
      <c r="G76" s="1"/>
      <c r="I76" s="1"/>
    </row>
    <row r="77" spans="1:9">
      <c r="A77" s="696">
        <v>26</v>
      </c>
      <c r="B77" s="688" t="s">
        <v>11771</v>
      </c>
      <c r="C77" s="267" t="s">
        <v>11772</v>
      </c>
      <c r="D77" s="13">
        <v>3249</v>
      </c>
      <c r="F77" s="688" t="s">
        <v>11713</v>
      </c>
      <c r="G77" s="1"/>
      <c r="I77" s="1"/>
    </row>
    <row r="78" spans="1:9">
      <c r="A78" s="696">
        <v>27</v>
      </c>
      <c r="B78" s="688" t="s">
        <v>11773</v>
      </c>
      <c r="C78" s="267" t="s">
        <v>11774</v>
      </c>
      <c r="D78" s="13">
        <v>3188</v>
      </c>
      <c r="F78" s="688" t="s">
        <v>11713</v>
      </c>
      <c r="G78" s="1"/>
      <c r="I78" s="1"/>
    </row>
    <row r="79" spans="1:9">
      <c r="A79" s="35">
        <v>28</v>
      </c>
      <c r="B79" s="688" t="s">
        <v>11775</v>
      </c>
      <c r="C79" s="267" t="s">
        <v>11776</v>
      </c>
      <c r="D79" s="13">
        <v>5898</v>
      </c>
      <c r="F79" s="688" t="s">
        <v>11713</v>
      </c>
      <c r="G79" s="1"/>
      <c r="I79" s="1"/>
    </row>
    <row r="80" spans="1:9">
      <c r="A80" s="35">
        <v>29</v>
      </c>
      <c r="B80" s="688" t="s">
        <v>11777</v>
      </c>
      <c r="C80" s="267" t="s">
        <v>11778</v>
      </c>
      <c r="D80" s="13">
        <v>6690</v>
      </c>
      <c r="F80" s="688" t="s">
        <v>11713</v>
      </c>
      <c r="G80" s="1"/>
      <c r="I80" s="1"/>
    </row>
    <row r="81" spans="1:9">
      <c r="A81" s="35">
        <v>30</v>
      </c>
      <c r="B81" s="688" t="s">
        <v>11779</v>
      </c>
      <c r="C81" s="267" t="s">
        <v>11780</v>
      </c>
      <c r="D81" s="13">
        <v>5814</v>
      </c>
      <c r="F81" s="688" t="s">
        <v>11713</v>
      </c>
      <c r="G81" s="1"/>
      <c r="I81" s="1"/>
    </row>
    <row r="82" spans="1:9">
      <c r="A82" s="35">
        <v>31</v>
      </c>
      <c r="B82" s="688" t="s">
        <v>11781</v>
      </c>
      <c r="C82" s="267" t="s">
        <v>11782</v>
      </c>
      <c r="D82" s="13">
        <v>10089</v>
      </c>
      <c r="F82" s="688" t="s">
        <v>11706</v>
      </c>
      <c r="G82" s="1"/>
      <c r="I82" s="1"/>
    </row>
    <row r="83" spans="1:9">
      <c r="A83" s="35">
        <v>32</v>
      </c>
      <c r="B83" s="688" t="s">
        <v>11783</v>
      </c>
      <c r="C83" s="267" t="s">
        <v>11784</v>
      </c>
      <c r="D83" s="13">
        <v>3357</v>
      </c>
      <c r="F83" s="512" t="s">
        <v>11699</v>
      </c>
      <c r="G83" s="1"/>
      <c r="I83" s="1"/>
    </row>
    <row r="84" spans="1:9">
      <c r="A84" s="35">
        <v>33</v>
      </c>
      <c r="B84" s="688" t="s">
        <v>11785</v>
      </c>
      <c r="C84" s="267" t="s">
        <v>11786</v>
      </c>
      <c r="D84" s="13">
        <v>6550</v>
      </c>
      <c r="F84" s="688" t="s">
        <v>11707</v>
      </c>
      <c r="G84" s="1"/>
      <c r="I84" s="1"/>
    </row>
    <row r="85" spans="1:9">
      <c r="A85" s="35">
        <v>34</v>
      </c>
      <c r="B85" s="688" t="s">
        <v>11787</v>
      </c>
      <c r="C85" s="267" t="s">
        <v>11788</v>
      </c>
      <c r="D85" s="13">
        <v>6320</v>
      </c>
      <c r="F85" s="688" t="s">
        <v>11707</v>
      </c>
      <c r="G85" s="1"/>
      <c r="I85" s="1"/>
    </row>
    <row r="86" spans="1:9">
      <c r="A86" s="35">
        <v>35</v>
      </c>
      <c r="B86" s="688" t="s">
        <v>11789</v>
      </c>
      <c r="C86" s="267" t="s">
        <v>11790</v>
      </c>
      <c r="D86" s="13">
        <v>6619</v>
      </c>
      <c r="F86" s="688" t="s">
        <v>11706</v>
      </c>
      <c r="G86" s="1"/>
      <c r="I86" s="1"/>
    </row>
    <row r="87" spans="1:9">
      <c r="A87" s="35">
        <v>36</v>
      </c>
      <c r="B87" s="688" t="s">
        <v>11791</v>
      </c>
      <c r="C87" s="267" t="s">
        <v>11792</v>
      </c>
      <c r="D87" s="13">
        <v>6037</v>
      </c>
      <c r="F87" s="512" t="s">
        <v>11702</v>
      </c>
      <c r="G87" s="1"/>
      <c r="I87" s="1"/>
    </row>
    <row r="88" spans="1:9">
      <c r="A88" s="35">
        <v>37</v>
      </c>
      <c r="B88" s="688" t="s">
        <v>11793</v>
      </c>
      <c r="C88" s="267" t="s">
        <v>11794</v>
      </c>
      <c r="D88" s="13">
        <v>6584</v>
      </c>
      <c r="F88" s="512" t="s">
        <v>11702</v>
      </c>
      <c r="G88" s="1"/>
      <c r="I88" s="1"/>
    </row>
    <row r="89" spans="1:9">
      <c r="A89" s="35">
        <v>38</v>
      </c>
      <c r="B89" s="688" t="s">
        <v>1023</v>
      </c>
      <c r="C89" s="267" t="s">
        <v>11795</v>
      </c>
      <c r="D89" s="13">
        <v>3321</v>
      </c>
      <c r="F89" s="688" t="s">
        <v>11713</v>
      </c>
      <c r="G89" s="1"/>
      <c r="I89" s="1"/>
    </row>
    <row r="90" spans="1:9">
      <c r="A90" s="35">
        <v>39</v>
      </c>
      <c r="B90" s="688" t="s">
        <v>11796</v>
      </c>
      <c r="C90" s="267" t="s">
        <v>11797</v>
      </c>
      <c r="D90" s="13">
        <v>3614</v>
      </c>
      <c r="F90" s="688" t="s">
        <v>11706</v>
      </c>
      <c r="G90" s="1"/>
      <c r="I90" s="1"/>
    </row>
    <row r="91" spans="1:9">
      <c r="A91" s="35">
        <v>40</v>
      </c>
      <c r="B91" s="688" t="s">
        <v>11798</v>
      </c>
      <c r="C91" s="267" t="s">
        <v>11799</v>
      </c>
      <c r="D91" s="13">
        <v>3580</v>
      </c>
      <c r="F91" s="688" t="s">
        <v>11706</v>
      </c>
      <c r="G91" s="1"/>
      <c r="I91" s="1"/>
    </row>
    <row r="92" spans="1:9">
      <c r="A92" s="34">
        <v>41</v>
      </c>
      <c r="B92" s="688" t="s">
        <v>11800</v>
      </c>
      <c r="C92" s="267" t="s">
        <v>11801</v>
      </c>
      <c r="D92" s="13">
        <v>3318</v>
      </c>
      <c r="F92" s="688" t="s">
        <v>11706</v>
      </c>
      <c r="G92" s="1"/>
      <c r="I92" s="1"/>
    </row>
    <row r="93" spans="1:9">
      <c r="A93" s="34">
        <v>42</v>
      </c>
      <c r="B93" s="688" t="s">
        <v>11802</v>
      </c>
      <c r="C93" s="267" t="s">
        <v>11803</v>
      </c>
      <c r="D93" s="13">
        <v>3699</v>
      </c>
      <c r="F93" s="688" t="s">
        <v>11706</v>
      </c>
      <c r="G93" s="1"/>
      <c r="I93" s="1"/>
    </row>
    <row r="94" spans="1:9">
      <c r="A94" s="34">
        <v>43</v>
      </c>
      <c r="B94" s="688" t="s">
        <v>11804</v>
      </c>
      <c r="C94" s="267" t="s">
        <v>11805</v>
      </c>
      <c r="D94" s="13">
        <v>3091</v>
      </c>
      <c r="F94" s="688" t="s">
        <v>11707</v>
      </c>
      <c r="G94" s="1"/>
      <c r="I94" s="1"/>
    </row>
    <row r="95" spans="1:9">
      <c r="A95" s="34">
        <v>44</v>
      </c>
      <c r="B95" s="688" t="s">
        <v>4475</v>
      </c>
      <c r="C95" s="267" t="s">
        <v>11806</v>
      </c>
      <c r="D95" s="13">
        <v>3429</v>
      </c>
      <c r="F95" s="688" t="s">
        <v>11713</v>
      </c>
      <c r="G95" s="1"/>
      <c r="I95" s="1"/>
    </row>
    <row r="96" spans="1:9">
      <c r="A96" s="34">
        <v>45</v>
      </c>
      <c r="B96" s="688" t="s">
        <v>11807</v>
      </c>
      <c r="C96" s="267" t="s">
        <v>11808</v>
      </c>
      <c r="D96" s="13">
        <v>3670</v>
      </c>
      <c r="F96" s="688" t="s">
        <v>11707</v>
      </c>
      <c r="G96" s="1"/>
      <c r="I96" s="1"/>
    </row>
    <row r="97" spans="1:9">
      <c r="A97" s="34">
        <v>46</v>
      </c>
      <c r="B97" s="688" t="s">
        <v>11809</v>
      </c>
      <c r="C97" s="267" t="s">
        <v>11810</v>
      </c>
      <c r="D97" s="13">
        <v>3294</v>
      </c>
      <c r="F97" s="688" t="s">
        <v>11702</v>
      </c>
      <c r="G97" s="1"/>
      <c r="I97" s="1"/>
    </row>
    <row r="98" spans="1:9">
      <c r="A98" s="34">
        <v>47</v>
      </c>
      <c r="B98" s="688" t="s">
        <v>11811</v>
      </c>
      <c r="C98" s="267" t="s">
        <v>11812</v>
      </c>
      <c r="D98" s="13">
        <v>2880</v>
      </c>
      <c r="F98" s="688" t="s">
        <v>11713</v>
      </c>
      <c r="G98" s="1"/>
      <c r="I98" s="1"/>
    </row>
    <row r="99" spans="1:9">
      <c r="A99" s="34">
        <v>48</v>
      </c>
      <c r="B99" s="688" t="s">
        <v>11813</v>
      </c>
      <c r="C99" s="267" t="s">
        <v>11814</v>
      </c>
      <c r="D99" s="13">
        <v>3304</v>
      </c>
      <c r="F99" s="688" t="s">
        <v>11713</v>
      </c>
      <c r="G99" s="1"/>
      <c r="I99" s="1"/>
    </row>
    <row r="100" spans="1:9">
      <c r="A100" s="34">
        <v>49</v>
      </c>
      <c r="B100" s="688" t="s">
        <v>11815</v>
      </c>
      <c r="C100" s="267" t="s">
        <v>11816</v>
      </c>
      <c r="D100" s="13">
        <v>7442</v>
      </c>
      <c r="F100" s="688" t="s">
        <v>11713</v>
      </c>
      <c r="G100" s="1"/>
      <c r="I100" s="1"/>
    </row>
    <row r="101" spans="1:9">
      <c r="A101" s="34">
        <v>50</v>
      </c>
      <c r="B101" s="688" t="s">
        <v>11817</v>
      </c>
      <c r="C101" s="267" t="s">
        <v>11818</v>
      </c>
      <c r="D101" s="13">
        <v>7200</v>
      </c>
      <c r="F101" s="688" t="s">
        <v>11707</v>
      </c>
      <c r="G101" s="1"/>
      <c r="I101" s="1"/>
    </row>
    <row r="102" spans="1:9">
      <c r="A102" s="34">
        <v>51</v>
      </c>
      <c r="B102" s="688" t="s">
        <v>11819</v>
      </c>
      <c r="C102" s="267" t="s">
        <v>11820</v>
      </c>
      <c r="D102" s="13">
        <v>3634</v>
      </c>
      <c r="F102" s="688" t="s">
        <v>11708</v>
      </c>
      <c r="G102" s="1"/>
      <c r="I102" s="1"/>
    </row>
    <row r="103" spans="1:9">
      <c r="A103" s="34">
        <v>52</v>
      </c>
      <c r="B103" s="688" t="s">
        <v>11821</v>
      </c>
      <c r="C103" s="267" t="s">
        <v>11822</v>
      </c>
      <c r="D103" s="13">
        <v>4075</v>
      </c>
      <c r="F103" s="688" t="s">
        <v>11707</v>
      </c>
      <c r="G103" s="1"/>
      <c r="I103" s="1"/>
    </row>
    <row r="104" spans="1:9">
      <c r="A104" s="34"/>
      <c r="B104" s="688"/>
      <c r="C104" s="267"/>
      <c r="D104" s="13"/>
      <c r="F104" s="688"/>
      <c r="G104" s="1"/>
      <c r="I104" s="1"/>
    </row>
    <row r="105" spans="1:9">
      <c r="A105" s="512" t="s">
        <v>11823</v>
      </c>
      <c r="D105" s="691">
        <f>D73+D74+D83</f>
        <v>16608</v>
      </c>
    </row>
    <row r="106" spans="1:9">
      <c r="A106" s="512" t="s">
        <v>11824</v>
      </c>
      <c r="D106" s="691">
        <f>D69+D71+D87+D88+D97</f>
        <v>26109</v>
      </c>
    </row>
    <row r="107" spans="1:9">
      <c r="A107" s="688" t="s">
        <v>11706</v>
      </c>
      <c r="D107" s="691">
        <f>D53+D56+D60+D61+D68+D82+D86+SUM(D90:D93)</f>
        <v>71287</v>
      </c>
    </row>
    <row r="108" spans="1:9">
      <c r="A108" s="688" t="s">
        <v>11707</v>
      </c>
      <c r="D108" s="691">
        <f>SUM(D62:D67)+D72+D75+D84+D85+D94+D96+D101+D103</f>
        <v>72326</v>
      </c>
    </row>
    <row r="109" spans="1:9">
      <c r="A109" s="688" t="s">
        <v>11825</v>
      </c>
      <c r="D109" s="691">
        <f>D54+D58+D102</f>
        <v>10879</v>
      </c>
    </row>
    <row r="110" spans="1:9">
      <c r="A110" s="688" t="s">
        <v>11713</v>
      </c>
      <c r="D110" s="691">
        <f>D52+D55+D57+D59+D70+SUM(D76:D81)+D89+D95+SUM(D98:D100)</f>
        <v>73696</v>
      </c>
    </row>
    <row r="111" spans="1:9">
      <c r="A111" s="688"/>
      <c r="D111" s="695"/>
    </row>
    <row r="112" spans="1:9">
      <c r="A112" s="689" t="s">
        <v>11826</v>
      </c>
      <c r="D112" s="695"/>
    </row>
    <row r="113" spans="1:9">
      <c r="A113" s="688"/>
      <c r="D113" s="695"/>
    </row>
    <row r="114" spans="1:9">
      <c r="A114" s="688"/>
      <c r="D114" s="695"/>
    </row>
    <row r="115" spans="1:9">
      <c r="D115" s="4" t="s">
        <v>285</v>
      </c>
      <c r="E115" s="5"/>
      <c r="F115" s="38" t="s">
        <v>4116</v>
      </c>
    </row>
    <row r="116" spans="1:9">
      <c r="D116" s="689">
        <v>2016</v>
      </c>
      <c r="F116" s="6" t="s">
        <v>286</v>
      </c>
    </row>
    <row r="117" spans="1:9">
      <c r="A117" s="688" t="s">
        <v>11827</v>
      </c>
      <c r="D117" s="691">
        <f>SUM(D118:D163)</f>
        <v>256498</v>
      </c>
    </row>
    <row r="118" spans="1:9">
      <c r="A118" s="696">
        <v>1</v>
      </c>
      <c r="B118" s="688" t="s">
        <v>11828</v>
      </c>
      <c r="C118" s="267" t="s">
        <v>11829</v>
      </c>
      <c r="D118" s="13">
        <v>9977</v>
      </c>
      <c r="F118" s="688" t="s">
        <v>11704</v>
      </c>
      <c r="G118" s="1"/>
      <c r="I118" s="1"/>
    </row>
    <row r="119" spans="1:9">
      <c r="A119" s="696">
        <v>2</v>
      </c>
      <c r="B119" s="688" t="s">
        <v>5919</v>
      </c>
      <c r="C119" s="267" t="s">
        <v>11830</v>
      </c>
      <c r="D119" s="13">
        <v>4097</v>
      </c>
      <c r="F119" s="688" t="s">
        <v>11704</v>
      </c>
      <c r="G119" s="1"/>
      <c r="I119" s="1"/>
    </row>
    <row r="120" spans="1:9">
      <c r="A120" s="697">
        <v>3</v>
      </c>
      <c r="B120" s="688" t="s">
        <v>11831</v>
      </c>
      <c r="C120" s="267" t="s">
        <v>11832</v>
      </c>
      <c r="D120" s="13">
        <v>2784</v>
      </c>
      <c r="F120" s="688" t="s">
        <v>11704</v>
      </c>
      <c r="G120" s="1"/>
      <c r="I120" s="1"/>
    </row>
    <row r="121" spans="1:9">
      <c r="A121" s="696">
        <v>4</v>
      </c>
      <c r="B121" s="688" t="s">
        <v>11833</v>
      </c>
      <c r="C121" s="267" t="s">
        <v>11834</v>
      </c>
      <c r="D121" s="13">
        <v>6806</v>
      </c>
      <c r="F121" s="688" t="s">
        <v>11704</v>
      </c>
      <c r="G121" s="1"/>
      <c r="I121" s="1"/>
    </row>
    <row r="122" spans="1:9">
      <c r="A122" s="696">
        <v>5</v>
      </c>
      <c r="B122" s="688" t="s">
        <v>11835</v>
      </c>
      <c r="C122" s="267" t="s">
        <v>11836</v>
      </c>
      <c r="D122" s="13">
        <v>10641</v>
      </c>
      <c r="F122" s="688" t="s">
        <v>11708</v>
      </c>
      <c r="G122" s="1"/>
      <c r="I122" s="1"/>
    </row>
    <row r="123" spans="1:9">
      <c r="A123" s="696">
        <v>6</v>
      </c>
      <c r="B123" s="688" t="s">
        <v>11837</v>
      </c>
      <c r="C123" s="267" t="s">
        <v>11838</v>
      </c>
      <c r="D123" s="13">
        <v>3574</v>
      </c>
      <c r="F123" s="688" t="s">
        <v>11704</v>
      </c>
      <c r="G123" s="1"/>
      <c r="I123" s="1"/>
    </row>
    <row r="124" spans="1:9">
      <c r="A124" s="696">
        <v>7</v>
      </c>
      <c r="B124" s="689" t="s">
        <v>11839</v>
      </c>
      <c r="C124" s="267" t="s">
        <v>11840</v>
      </c>
      <c r="D124" s="13">
        <v>6384</v>
      </c>
      <c r="F124" s="688" t="s">
        <v>11709</v>
      </c>
      <c r="G124" s="1"/>
      <c r="I124" s="1"/>
    </row>
    <row r="125" spans="1:9">
      <c r="A125" s="696">
        <v>8</v>
      </c>
      <c r="B125" s="688" t="s">
        <v>11841</v>
      </c>
      <c r="C125" s="267" t="s">
        <v>11842</v>
      </c>
      <c r="D125" s="13">
        <v>3429</v>
      </c>
      <c r="F125" s="688" t="s">
        <v>11709</v>
      </c>
      <c r="G125" s="1"/>
      <c r="I125" s="1"/>
    </row>
    <row r="126" spans="1:9">
      <c r="A126" s="696">
        <v>9</v>
      </c>
      <c r="B126" s="688" t="s">
        <v>11843</v>
      </c>
      <c r="C126" s="267" t="s">
        <v>11844</v>
      </c>
      <c r="D126" s="13">
        <v>3346</v>
      </c>
      <c r="F126" s="688" t="s">
        <v>11717</v>
      </c>
      <c r="G126" s="1"/>
      <c r="I126" s="1"/>
    </row>
    <row r="127" spans="1:9">
      <c r="A127" s="696">
        <v>10</v>
      </c>
      <c r="B127" s="688" t="s">
        <v>11845</v>
      </c>
      <c r="C127" s="267" t="s">
        <v>11846</v>
      </c>
      <c r="D127" s="13">
        <v>7333</v>
      </c>
      <c r="F127" s="688" t="s">
        <v>11717</v>
      </c>
      <c r="G127" s="1"/>
      <c r="I127" s="1"/>
    </row>
    <row r="128" spans="1:9">
      <c r="A128" s="696">
        <v>11</v>
      </c>
      <c r="B128" s="688" t="s">
        <v>11847</v>
      </c>
      <c r="C128" s="267" t="s">
        <v>11848</v>
      </c>
      <c r="D128" s="13">
        <v>3437</v>
      </c>
      <c r="F128" s="688" t="s">
        <v>11704</v>
      </c>
      <c r="G128" s="1"/>
      <c r="I128" s="1"/>
    </row>
    <row r="129" spans="1:9">
      <c r="A129" s="696">
        <v>12</v>
      </c>
      <c r="B129" s="688" t="s">
        <v>11849</v>
      </c>
      <c r="C129" s="267" t="s">
        <v>11850</v>
      </c>
      <c r="D129" s="13">
        <v>3263</v>
      </c>
      <c r="F129" s="688" t="s">
        <v>11717</v>
      </c>
      <c r="G129" s="1"/>
      <c r="I129" s="1"/>
    </row>
    <row r="130" spans="1:9">
      <c r="A130" s="696">
        <v>13</v>
      </c>
      <c r="B130" s="689" t="s">
        <v>1009</v>
      </c>
      <c r="C130" s="267" t="s">
        <v>11851</v>
      </c>
      <c r="D130" s="13">
        <v>3321</v>
      </c>
      <c r="F130" s="688" t="s">
        <v>11709</v>
      </c>
      <c r="G130" s="1"/>
      <c r="I130" s="1"/>
    </row>
    <row r="131" spans="1:9">
      <c r="A131" s="696">
        <v>14</v>
      </c>
      <c r="B131" s="688" t="s">
        <v>11852</v>
      </c>
      <c r="C131" s="267" t="s">
        <v>11853</v>
      </c>
      <c r="D131" s="13">
        <v>7192</v>
      </c>
      <c r="F131" s="688" t="s">
        <v>11704</v>
      </c>
      <c r="G131" s="1"/>
      <c r="I131" s="1"/>
    </row>
    <row r="132" spans="1:9">
      <c r="A132" s="696">
        <v>15</v>
      </c>
      <c r="B132" s="688" t="s">
        <v>11854</v>
      </c>
      <c r="C132" s="267" t="s">
        <v>11855</v>
      </c>
      <c r="D132" s="13">
        <v>7184</v>
      </c>
      <c r="F132" s="688" t="s">
        <v>11704</v>
      </c>
      <c r="G132" s="1"/>
      <c r="I132" s="1"/>
    </row>
    <row r="133" spans="1:9">
      <c r="A133" s="696">
        <v>16</v>
      </c>
      <c r="B133" s="689" t="s">
        <v>11856</v>
      </c>
      <c r="C133" s="267" t="s">
        <v>11857</v>
      </c>
      <c r="D133" s="13">
        <v>6553</v>
      </c>
      <c r="F133" s="688" t="s">
        <v>11708</v>
      </c>
      <c r="G133" s="1"/>
      <c r="I133" s="1"/>
    </row>
    <row r="134" spans="1:9">
      <c r="A134" s="696">
        <v>17</v>
      </c>
      <c r="B134" s="689" t="s">
        <v>11858</v>
      </c>
      <c r="C134" s="267" t="s">
        <v>11859</v>
      </c>
      <c r="D134" s="13">
        <v>3960</v>
      </c>
      <c r="F134" s="688" t="s">
        <v>11717</v>
      </c>
      <c r="G134" s="1"/>
      <c r="I134" s="1"/>
    </row>
    <row r="135" spans="1:9">
      <c r="A135" s="696">
        <v>18</v>
      </c>
      <c r="B135" s="689" t="s">
        <v>11860</v>
      </c>
      <c r="C135" s="267" t="s">
        <v>11861</v>
      </c>
      <c r="D135" s="13">
        <v>6787</v>
      </c>
      <c r="F135" s="688" t="s">
        <v>11704</v>
      </c>
      <c r="G135" s="1"/>
      <c r="I135" s="1"/>
    </row>
    <row r="136" spans="1:9">
      <c r="A136" s="696">
        <v>19</v>
      </c>
      <c r="B136" s="688" t="s">
        <v>5457</v>
      </c>
      <c r="C136" s="267" t="s">
        <v>11862</v>
      </c>
      <c r="D136" s="13">
        <v>3523</v>
      </c>
      <c r="F136" s="688" t="s">
        <v>11717</v>
      </c>
      <c r="G136" s="1"/>
      <c r="I136" s="1"/>
    </row>
    <row r="137" spans="1:9">
      <c r="A137" s="696">
        <v>20</v>
      </c>
      <c r="B137" s="689" t="s">
        <v>11863</v>
      </c>
      <c r="C137" s="267" t="s">
        <v>11864</v>
      </c>
      <c r="D137" s="13">
        <v>3755</v>
      </c>
      <c r="F137" s="688" t="s">
        <v>11704</v>
      </c>
      <c r="G137" s="1"/>
      <c r="I137" s="1"/>
    </row>
    <row r="138" spans="1:9">
      <c r="A138" s="696">
        <v>21</v>
      </c>
      <c r="B138" s="688" t="s">
        <v>11865</v>
      </c>
      <c r="C138" s="267" t="s">
        <v>11866</v>
      </c>
      <c r="D138" s="13">
        <v>6385</v>
      </c>
      <c r="F138" s="688" t="s">
        <v>11709</v>
      </c>
      <c r="G138" s="1"/>
      <c r="I138" s="1"/>
    </row>
    <row r="139" spans="1:9">
      <c r="A139" s="696">
        <v>22</v>
      </c>
      <c r="B139" s="688" t="s">
        <v>11867</v>
      </c>
      <c r="C139" s="267" t="s">
        <v>11868</v>
      </c>
      <c r="D139" s="13">
        <v>7022</v>
      </c>
      <c r="F139" s="688" t="s">
        <v>11709</v>
      </c>
      <c r="G139" s="1"/>
      <c r="I139" s="1"/>
    </row>
    <row r="140" spans="1:9">
      <c r="A140" s="696">
        <v>23</v>
      </c>
      <c r="B140" s="688" t="s">
        <v>11869</v>
      </c>
      <c r="C140" s="267" t="s">
        <v>11870</v>
      </c>
      <c r="D140" s="13">
        <v>3444</v>
      </c>
      <c r="F140" s="688" t="s">
        <v>11708</v>
      </c>
      <c r="G140" s="1"/>
      <c r="I140" s="1"/>
    </row>
    <row r="141" spans="1:9">
      <c r="A141" s="696">
        <v>24</v>
      </c>
      <c r="B141" s="688" t="s">
        <v>11871</v>
      </c>
      <c r="C141" s="267" t="s">
        <v>11872</v>
      </c>
      <c r="D141" s="13">
        <v>9496</v>
      </c>
      <c r="F141" s="688" t="s">
        <v>11717</v>
      </c>
      <c r="G141" s="1"/>
      <c r="I141" s="1"/>
    </row>
    <row r="142" spans="1:9">
      <c r="A142" s="696">
        <v>25</v>
      </c>
      <c r="B142" s="688" t="s">
        <v>11873</v>
      </c>
      <c r="C142" s="267" t="s">
        <v>11874</v>
      </c>
      <c r="D142" s="13">
        <v>3176</v>
      </c>
      <c r="F142" s="688" t="s">
        <v>11709</v>
      </c>
      <c r="G142" s="1"/>
      <c r="I142" s="1"/>
    </row>
    <row r="143" spans="1:9">
      <c r="A143" s="696">
        <v>26</v>
      </c>
      <c r="B143" s="688" t="s">
        <v>11875</v>
      </c>
      <c r="C143" s="267" t="s">
        <v>11876</v>
      </c>
      <c r="D143" s="13">
        <v>2741</v>
      </c>
      <c r="F143" s="688" t="s">
        <v>11709</v>
      </c>
      <c r="G143" s="1"/>
      <c r="I143" s="1"/>
    </row>
    <row r="144" spans="1:9">
      <c r="A144" s="696">
        <v>27</v>
      </c>
      <c r="B144" s="688" t="s">
        <v>3622</v>
      </c>
      <c r="C144" s="267" t="s">
        <v>11877</v>
      </c>
      <c r="D144" s="13">
        <v>7363</v>
      </c>
      <c r="F144" s="688" t="s">
        <v>11704</v>
      </c>
      <c r="G144" s="1"/>
      <c r="I144" s="1"/>
    </row>
    <row r="145" spans="1:9">
      <c r="A145" s="35">
        <v>28</v>
      </c>
      <c r="B145" s="688" t="s">
        <v>11878</v>
      </c>
      <c r="C145" s="267" t="s">
        <v>11879</v>
      </c>
      <c r="D145" s="13">
        <v>3128</v>
      </c>
      <c r="F145" s="688" t="s">
        <v>11709</v>
      </c>
      <c r="G145" s="1"/>
      <c r="I145" s="1"/>
    </row>
    <row r="146" spans="1:9">
      <c r="A146" s="35">
        <v>29</v>
      </c>
      <c r="B146" s="688" t="s">
        <v>11880</v>
      </c>
      <c r="C146" s="267" t="s">
        <v>11881</v>
      </c>
      <c r="D146" s="13">
        <v>2914</v>
      </c>
      <c r="F146" s="688" t="s">
        <v>11709</v>
      </c>
      <c r="G146" s="1"/>
      <c r="I146" s="1"/>
    </row>
    <row r="147" spans="1:9">
      <c r="A147" s="35">
        <v>30</v>
      </c>
      <c r="B147" s="688" t="s">
        <v>1025</v>
      </c>
      <c r="C147" s="267" t="s">
        <v>11882</v>
      </c>
      <c r="D147" s="13">
        <v>6669</v>
      </c>
      <c r="F147" s="688" t="s">
        <v>11709</v>
      </c>
      <c r="G147" s="1"/>
      <c r="I147" s="1"/>
    </row>
    <row r="148" spans="1:9">
      <c r="A148" s="35">
        <v>31</v>
      </c>
      <c r="B148" s="688" t="s">
        <v>11883</v>
      </c>
      <c r="C148" s="267" t="s">
        <v>11884</v>
      </c>
      <c r="D148" s="13">
        <v>3828</v>
      </c>
      <c r="F148" s="688" t="s">
        <v>11704</v>
      </c>
      <c r="G148" s="1"/>
      <c r="I148" s="1"/>
    </row>
    <row r="149" spans="1:9">
      <c r="A149" s="35">
        <v>32</v>
      </c>
      <c r="B149" s="688" t="s">
        <v>11885</v>
      </c>
      <c r="C149" s="267" t="s">
        <v>11886</v>
      </c>
      <c r="D149" s="13">
        <v>3431</v>
      </c>
      <c r="F149" s="688" t="s">
        <v>11708</v>
      </c>
      <c r="G149" s="1"/>
      <c r="I149" s="1"/>
    </row>
    <row r="150" spans="1:9">
      <c r="A150" s="35">
        <v>33</v>
      </c>
      <c r="B150" s="688" t="s">
        <v>11887</v>
      </c>
      <c r="C150" s="267" t="s">
        <v>11888</v>
      </c>
      <c r="D150" s="13">
        <v>4192</v>
      </c>
      <c r="F150" s="688" t="s">
        <v>11709</v>
      </c>
      <c r="G150" s="1"/>
      <c r="I150" s="1"/>
    </row>
    <row r="151" spans="1:9">
      <c r="A151" s="35">
        <v>34</v>
      </c>
      <c r="B151" s="688" t="s">
        <v>4475</v>
      </c>
      <c r="C151" s="267" t="s">
        <v>11889</v>
      </c>
      <c r="D151" s="13">
        <v>7022</v>
      </c>
      <c r="F151" s="688" t="s">
        <v>11709</v>
      </c>
      <c r="G151" s="1"/>
      <c r="I151" s="1"/>
    </row>
    <row r="152" spans="1:9">
      <c r="A152" s="35">
        <v>35</v>
      </c>
      <c r="B152" s="688" t="s">
        <v>11890</v>
      </c>
      <c r="C152" s="267" t="s">
        <v>11891</v>
      </c>
      <c r="D152" s="13">
        <v>3894</v>
      </c>
      <c r="F152" s="688" t="s">
        <v>11717</v>
      </c>
      <c r="G152" s="1"/>
      <c r="I152" s="1"/>
    </row>
    <row r="153" spans="1:9">
      <c r="A153" s="35">
        <v>36</v>
      </c>
      <c r="B153" s="688" t="s">
        <v>11892</v>
      </c>
      <c r="C153" s="267" t="s">
        <v>11893</v>
      </c>
      <c r="D153" s="13">
        <v>6973</v>
      </c>
      <c r="F153" s="688" t="s">
        <v>11717</v>
      </c>
      <c r="G153" s="1"/>
      <c r="I153" s="1"/>
    </row>
    <row r="154" spans="1:9">
      <c r="A154" s="35">
        <v>37</v>
      </c>
      <c r="B154" s="688" t="s">
        <v>11894</v>
      </c>
      <c r="C154" s="267" t="s">
        <v>11895</v>
      </c>
      <c r="D154" s="13">
        <v>3626</v>
      </c>
      <c r="F154" s="688" t="s">
        <v>11717</v>
      </c>
      <c r="G154" s="1"/>
      <c r="I154" s="1"/>
    </row>
    <row r="155" spans="1:9">
      <c r="A155" s="35">
        <v>38</v>
      </c>
      <c r="B155" s="688" t="s">
        <v>5493</v>
      </c>
      <c r="C155" s="267" t="s">
        <v>11896</v>
      </c>
      <c r="D155" s="13">
        <v>6939</v>
      </c>
      <c r="F155" s="688" t="s">
        <v>11704</v>
      </c>
      <c r="G155" s="1"/>
      <c r="I155" s="1"/>
    </row>
    <row r="156" spans="1:9">
      <c r="A156" s="35">
        <v>39</v>
      </c>
      <c r="B156" s="688" t="s">
        <v>11897</v>
      </c>
      <c r="C156" s="267" t="s">
        <v>11898</v>
      </c>
      <c r="D156" s="13">
        <v>10336</v>
      </c>
      <c r="F156" s="688" t="s">
        <v>11717</v>
      </c>
      <c r="G156" s="1"/>
      <c r="I156" s="1"/>
    </row>
    <row r="157" spans="1:9">
      <c r="A157" s="35">
        <v>40</v>
      </c>
      <c r="B157" s="688" t="s">
        <v>11899</v>
      </c>
      <c r="C157" s="267" t="s">
        <v>11900</v>
      </c>
      <c r="D157" s="13">
        <v>6503</v>
      </c>
      <c r="F157" s="688" t="s">
        <v>11709</v>
      </c>
      <c r="G157" s="1"/>
      <c r="I157" s="1"/>
    </row>
    <row r="158" spans="1:9">
      <c r="A158" s="34">
        <v>41</v>
      </c>
      <c r="B158" s="688" t="s">
        <v>11901</v>
      </c>
      <c r="C158" s="267" t="s">
        <v>11902</v>
      </c>
      <c r="D158" s="13">
        <v>3270</v>
      </c>
      <c r="F158" s="688" t="s">
        <v>11709</v>
      </c>
      <c r="G158" s="1"/>
      <c r="I158" s="1"/>
    </row>
    <row r="159" spans="1:9">
      <c r="A159" s="34">
        <v>42</v>
      </c>
      <c r="B159" s="688" t="s">
        <v>11903</v>
      </c>
      <c r="C159" s="267" t="s">
        <v>11904</v>
      </c>
      <c r="D159" s="13">
        <v>7026</v>
      </c>
      <c r="F159" s="688" t="s">
        <v>11708</v>
      </c>
      <c r="G159" s="1"/>
      <c r="I159" s="1"/>
    </row>
    <row r="160" spans="1:9">
      <c r="A160" s="34">
        <v>43</v>
      </c>
      <c r="B160" s="688" t="s">
        <v>11905</v>
      </c>
      <c r="C160" s="267" t="s">
        <v>11906</v>
      </c>
      <c r="D160" s="13">
        <v>9672</v>
      </c>
      <c r="F160" s="688" t="s">
        <v>11708</v>
      </c>
      <c r="G160" s="1"/>
      <c r="I160" s="1"/>
    </row>
    <row r="161" spans="1:9">
      <c r="A161" s="34">
        <v>44</v>
      </c>
      <c r="B161" s="688" t="s">
        <v>11907</v>
      </c>
      <c r="C161" s="267" t="s">
        <v>11908</v>
      </c>
      <c r="D161" s="13">
        <v>6708</v>
      </c>
      <c r="F161" s="688" t="s">
        <v>11708</v>
      </c>
      <c r="G161" s="1"/>
      <c r="I161" s="1"/>
    </row>
    <row r="162" spans="1:9">
      <c r="A162" s="34">
        <v>45</v>
      </c>
      <c r="B162" s="688" t="s">
        <v>11909</v>
      </c>
      <c r="C162" s="267" t="s">
        <v>11910</v>
      </c>
      <c r="D162" s="13">
        <v>7100</v>
      </c>
      <c r="F162" s="688" t="s">
        <v>11708</v>
      </c>
      <c r="G162" s="1"/>
      <c r="I162" s="1"/>
    </row>
    <row r="163" spans="1:9">
      <c r="A163" s="34">
        <v>46</v>
      </c>
      <c r="B163" s="688" t="s">
        <v>11911</v>
      </c>
      <c r="C163" s="267" t="s">
        <v>11912</v>
      </c>
      <c r="D163" s="13">
        <v>6294</v>
      </c>
      <c r="F163" s="688" t="s">
        <v>11708</v>
      </c>
      <c r="G163" s="1"/>
      <c r="I163" s="1"/>
    </row>
    <row r="164" spans="1:9">
      <c r="A164" s="696"/>
      <c r="B164" s="688"/>
      <c r="C164" s="1"/>
      <c r="D164" s="691"/>
      <c r="F164" s="688"/>
      <c r="G164" s="1"/>
      <c r="I164" s="1"/>
    </row>
    <row r="165" spans="1:9">
      <c r="A165" s="688" t="s">
        <v>11704</v>
      </c>
      <c r="D165" s="691">
        <f>SUM(D118:D121)+D123+D128+D131+D132+D135+D137+D144+D148+D155</f>
        <v>73723</v>
      </c>
    </row>
    <row r="166" spans="1:9">
      <c r="A166" s="688" t="s">
        <v>11825</v>
      </c>
      <c r="D166" s="691">
        <f>D122+D133+D140+D149+SUM(D159:D163)</f>
        <v>60869</v>
      </c>
    </row>
    <row r="167" spans="1:9">
      <c r="A167" s="688" t="s">
        <v>11709</v>
      </c>
      <c r="D167" s="691">
        <f>D124+D125+D130+D138+D139+D142+D143+SUM(D145:D147)+D150+D151+D157+D158</f>
        <v>66156</v>
      </c>
    </row>
    <row r="168" spans="1:9">
      <c r="A168" s="688" t="s">
        <v>11913</v>
      </c>
      <c r="C168" s="688"/>
      <c r="D168" s="691">
        <f>D141+D149+D163</f>
        <v>19221</v>
      </c>
    </row>
    <row r="169" spans="1:9">
      <c r="A169" s="688" t="s">
        <v>11914</v>
      </c>
      <c r="D169" s="691">
        <f>D126+D127+D129+D134+D136+D141+SUM(D152:D154)+D156</f>
        <v>55750</v>
      </c>
    </row>
    <row r="170" spans="1:9">
      <c r="A170" s="688"/>
      <c r="B170" s="688"/>
      <c r="D170" s="691"/>
    </row>
    <row r="171" spans="1:9">
      <c r="A171" s="689" t="s">
        <v>11915</v>
      </c>
      <c r="D171" s="691"/>
    </row>
    <row r="172" spans="1:9">
      <c r="A172" s="688"/>
      <c r="D172" s="695"/>
    </row>
    <row r="173" spans="1:9">
      <c r="A173" s="688"/>
      <c r="D173" s="695"/>
    </row>
    <row r="174" spans="1:9">
      <c r="D174" s="4" t="s">
        <v>285</v>
      </c>
      <c r="E174" s="5"/>
      <c r="F174" s="38" t="s">
        <v>4116</v>
      </c>
    </row>
    <row r="175" spans="1:9">
      <c r="D175" s="689">
        <v>2016</v>
      </c>
      <c r="F175" s="6" t="s">
        <v>286</v>
      </c>
    </row>
    <row r="176" spans="1:9">
      <c r="A176" s="688" t="s">
        <v>11697</v>
      </c>
      <c r="D176" s="691">
        <f t="shared" ref="D176" si="18">SUM(D177:D197)</f>
        <v>92958</v>
      </c>
    </row>
    <row r="177" spans="1:10">
      <c r="A177" s="688" t="s">
        <v>812</v>
      </c>
      <c r="B177" s="688" t="s">
        <v>7558</v>
      </c>
      <c r="C177" s="1" t="s">
        <v>11916</v>
      </c>
      <c r="D177" s="13">
        <v>4863</v>
      </c>
      <c r="F177" s="688" t="s">
        <v>11711</v>
      </c>
      <c r="H177" s="1"/>
      <c r="J177" s="1"/>
    </row>
    <row r="178" spans="1:10">
      <c r="A178" s="688" t="s">
        <v>813</v>
      </c>
      <c r="B178" s="688" t="s">
        <v>11917</v>
      </c>
      <c r="C178" s="1" t="s">
        <v>11918</v>
      </c>
      <c r="D178" s="13">
        <v>2946</v>
      </c>
      <c r="F178" s="688" t="s">
        <v>11717</v>
      </c>
      <c r="H178" s="1"/>
      <c r="J178" s="1"/>
    </row>
    <row r="179" spans="1:10">
      <c r="A179" s="688" t="s">
        <v>814</v>
      </c>
      <c r="B179" s="688" t="s">
        <v>11919</v>
      </c>
      <c r="C179" s="1" t="s">
        <v>11920</v>
      </c>
      <c r="D179" s="13">
        <v>5292</v>
      </c>
      <c r="F179" s="688" t="s">
        <v>11711</v>
      </c>
      <c r="H179" s="1"/>
      <c r="J179" s="1"/>
    </row>
    <row r="180" spans="1:10">
      <c r="A180" s="688" t="s">
        <v>815</v>
      </c>
      <c r="B180" s="688" t="s">
        <v>1008</v>
      </c>
      <c r="C180" s="1" t="s">
        <v>11921</v>
      </c>
      <c r="D180" s="13">
        <v>4797</v>
      </c>
      <c r="F180" s="688" t="s">
        <v>11711</v>
      </c>
      <c r="H180" s="1"/>
      <c r="J180" s="1"/>
    </row>
    <row r="181" spans="1:10">
      <c r="A181" s="688" t="s">
        <v>816</v>
      </c>
      <c r="B181" s="688" t="s">
        <v>11922</v>
      </c>
      <c r="C181" s="1" t="s">
        <v>11923</v>
      </c>
      <c r="D181" s="13">
        <v>4568</v>
      </c>
      <c r="F181" s="688" t="s">
        <v>11711</v>
      </c>
      <c r="H181" s="1"/>
      <c r="J181" s="1"/>
    </row>
    <row r="182" spans="1:10">
      <c r="A182" s="688" t="s">
        <v>826</v>
      </c>
      <c r="B182" s="688" t="s">
        <v>11924</v>
      </c>
      <c r="C182" s="1" t="s">
        <v>11925</v>
      </c>
      <c r="D182" s="13">
        <v>3426</v>
      </c>
      <c r="F182" s="688" t="s">
        <v>11717</v>
      </c>
      <c r="H182" s="1"/>
      <c r="J182" s="1"/>
    </row>
    <row r="183" spans="1:10">
      <c r="A183" s="688" t="s">
        <v>827</v>
      </c>
      <c r="B183" s="688" t="s">
        <v>11926</v>
      </c>
      <c r="C183" s="1" t="s">
        <v>11927</v>
      </c>
      <c r="D183" s="13">
        <v>5456</v>
      </c>
      <c r="F183" s="688" t="s">
        <v>11711</v>
      </c>
      <c r="H183" s="1"/>
      <c r="J183" s="1"/>
    </row>
    <row r="184" spans="1:10">
      <c r="A184" s="688" t="s">
        <v>828</v>
      </c>
      <c r="B184" s="688" t="s">
        <v>11928</v>
      </c>
      <c r="C184" s="1" t="s">
        <v>11929</v>
      </c>
      <c r="D184" s="13">
        <v>6415</v>
      </c>
      <c r="F184" s="688" t="s">
        <v>11711</v>
      </c>
      <c r="H184" s="1"/>
      <c r="J184" s="1"/>
    </row>
    <row r="185" spans="1:10">
      <c r="A185" s="688" t="s">
        <v>829</v>
      </c>
      <c r="B185" s="688" t="s">
        <v>1009</v>
      </c>
      <c r="C185" s="1" t="s">
        <v>11930</v>
      </c>
      <c r="D185" s="13">
        <v>4839</v>
      </c>
      <c r="F185" s="688" t="s">
        <v>11711</v>
      </c>
      <c r="H185" s="1"/>
      <c r="J185" s="1"/>
    </row>
    <row r="186" spans="1:10">
      <c r="A186" s="688" t="s">
        <v>830</v>
      </c>
      <c r="B186" s="688" t="s">
        <v>9245</v>
      </c>
      <c r="C186" s="1" t="s">
        <v>11931</v>
      </c>
      <c r="D186" s="13">
        <v>1497</v>
      </c>
      <c r="F186" s="688" t="s">
        <v>11711</v>
      </c>
      <c r="H186" s="1"/>
      <c r="J186" s="1"/>
    </row>
    <row r="187" spans="1:10">
      <c r="A187" s="688" t="s">
        <v>831</v>
      </c>
      <c r="B187" s="688" t="s">
        <v>11932</v>
      </c>
      <c r="C187" s="1" t="s">
        <v>11933</v>
      </c>
      <c r="D187" s="13">
        <v>4790</v>
      </c>
      <c r="F187" s="688" t="s">
        <v>11711</v>
      </c>
      <c r="H187" s="1"/>
      <c r="J187" s="1"/>
    </row>
    <row r="188" spans="1:10">
      <c r="A188" s="688" t="s">
        <v>832</v>
      </c>
      <c r="B188" s="688" t="s">
        <v>11934</v>
      </c>
      <c r="C188" s="1" t="s">
        <v>11935</v>
      </c>
      <c r="D188" s="13">
        <v>4513</v>
      </c>
      <c r="F188" s="688" t="s">
        <v>11711</v>
      </c>
      <c r="H188" s="1"/>
      <c r="J188" s="1"/>
    </row>
    <row r="189" spans="1:10">
      <c r="A189" s="688" t="s">
        <v>833</v>
      </c>
      <c r="B189" s="688" t="s">
        <v>11936</v>
      </c>
      <c r="C189" s="1" t="s">
        <v>11937</v>
      </c>
      <c r="D189" s="13">
        <v>5181</v>
      </c>
      <c r="F189" s="688" t="s">
        <v>11711</v>
      </c>
      <c r="H189" s="1"/>
      <c r="J189" s="1"/>
    </row>
    <row r="190" spans="1:10">
      <c r="A190" s="688" t="s">
        <v>834</v>
      </c>
      <c r="B190" s="688" t="s">
        <v>2851</v>
      </c>
      <c r="C190" s="1" t="s">
        <v>11938</v>
      </c>
      <c r="D190" s="13">
        <v>4634</v>
      </c>
      <c r="F190" s="688" t="s">
        <v>11711</v>
      </c>
      <c r="H190" s="1"/>
      <c r="J190" s="1"/>
    </row>
    <row r="191" spans="1:10">
      <c r="A191" s="688" t="s">
        <v>835</v>
      </c>
      <c r="B191" s="688" t="s">
        <v>11939</v>
      </c>
      <c r="C191" s="1" t="s">
        <v>11940</v>
      </c>
      <c r="D191" s="13">
        <v>5155</v>
      </c>
      <c r="F191" s="688" t="s">
        <v>11711</v>
      </c>
      <c r="H191" s="1"/>
      <c r="J191" s="1"/>
    </row>
    <row r="192" spans="1:10">
      <c r="A192" s="688" t="s">
        <v>836</v>
      </c>
      <c r="B192" s="688" t="s">
        <v>5683</v>
      </c>
      <c r="C192" s="1" t="s">
        <v>11941</v>
      </c>
      <c r="D192" s="13">
        <v>4796</v>
      </c>
      <c r="F192" s="688" t="s">
        <v>11711</v>
      </c>
      <c r="H192" s="1"/>
      <c r="J192" s="1"/>
    </row>
    <row r="193" spans="1:10">
      <c r="A193" s="688" t="s">
        <v>837</v>
      </c>
      <c r="B193" s="688" t="s">
        <v>11942</v>
      </c>
      <c r="C193" s="1" t="s">
        <v>11943</v>
      </c>
      <c r="D193" s="13">
        <v>5062</v>
      </c>
      <c r="F193" s="688" t="s">
        <v>11711</v>
      </c>
      <c r="H193" s="1"/>
      <c r="J193" s="1"/>
    </row>
    <row r="194" spans="1:10">
      <c r="A194" s="688" t="s">
        <v>838</v>
      </c>
      <c r="B194" s="688" t="s">
        <v>6175</v>
      </c>
      <c r="C194" s="1" t="s">
        <v>11944</v>
      </c>
      <c r="D194" s="13">
        <v>4961</v>
      </c>
      <c r="F194" s="688" t="s">
        <v>11717</v>
      </c>
      <c r="H194" s="1"/>
      <c r="J194" s="1"/>
    </row>
    <row r="195" spans="1:10">
      <c r="A195" s="688" t="s">
        <v>840</v>
      </c>
      <c r="B195" s="688" t="s">
        <v>6177</v>
      </c>
      <c r="C195" s="1" t="s">
        <v>11945</v>
      </c>
      <c r="D195" s="13">
        <v>4629</v>
      </c>
      <c r="F195" s="688" t="s">
        <v>11717</v>
      </c>
      <c r="H195" s="1"/>
      <c r="J195" s="1"/>
    </row>
    <row r="196" spans="1:10">
      <c r="A196" s="688" t="s">
        <v>841</v>
      </c>
      <c r="B196" s="2" t="s">
        <v>5476</v>
      </c>
      <c r="C196" s="1" t="s">
        <v>11946</v>
      </c>
      <c r="D196" s="13">
        <v>3523</v>
      </c>
      <c r="F196" s="688" t="s">
        <v>11711</v>
      </c>
      <c r="H196" s="1"/>
      <c r="J196" s="1"/>
    </row>
    <row r="197" spans="1:10">
      <c r="A197" s="688" t="s">
        <v>878</v>
      </c>
      <c r="B197" s="688" t="s">
        <v>975</v>
      </c>
      <c r="C197" s="1" t="s">
        <v>11947</v>
      </c>
      <c r="D197" s="13">
        <v>1615</v>
      </c>
      <c r="F197" s="688" t="s">
        <v>11717</v>
      </c>
      <c r="H197" s="1"/>
      <c r="J197" s="1"/>
    </row>
    <row r="198" spans="1:10">
      <c r="D198" s="694"/>
    </row>
    <row r="199" spans="1:10">
      <c r="A199" s="688" t="s">
        <v>11711</v>
      </c>
      <c r="D199" s="691">
        <f>D177+D179+D180+D181+SUM(D183:D193)+D196</f>
        <v>75381</v>
      </c>
    </row>
    <row r="200" spans="1:10">
      <c r="A200" s="688" t="s">
        <v>11914</v>
      </c>
      <c r="D200" s="691">
        <f>D178+D182+D194+D195+D197</f>
        <v>17577</v>
      </c>
    </row>
    <row r="202" spans="1:10">
      <c r="A202" s="688" t="s">
        <v>11948</v>
      </c>
    </row>
    <row r="203" spans="1:10">
      <c r="A203" s="688"/>
    </row>
    <row r="204" spans="1:10">
      <c r="A204" s="688"/>
    </row>
    <row r="205" spans="1:10">
      <c r="A205" s="688"/>
      <c r="D205" s="4" t="s">
        <v>285</v>
      </c>
      <c r="E205" s="5"/>
      <c r="F205" s="38" t="s">
        <v>4116</v>
      </c>
    </row>
    <row r="206" spans="1:10">
      <c r="A206" s="688"/>
      <c r="D206" s="689">
        <v>2016</v>
      </c>
      <c r="F206" s="6" t="s">
        <v>286</v>
      </c>
    </row>
    <row r="207" spans="1:10">
      <c r="A207" s="688" t="s">
        <v>11698</v>
      </c>
      <c r="D207" s="694">
        <f>+SUM(D208:D229)</f>
        <v>152989</v>
      </c>
    </row>
    <row r="208" spans="1:10">
      <c r="A208" s="688" t="s">
        <v>812</v>
      </c>
      <c r="B208" s="688" t="s">
        <v>7558</v>
      </c>
      <c r="C208" s="1" t="s">
        <v>11949</v>
      </c>
      <c r="D208" s="7">
        <v>8354</v>
      </c>
      <c r="F208" s="688" t="s">
        <v>11716</v>
      </c>
    </row>
    <row r="209" spans="1:6">
      <c r="A209" s="688" t="s">
        <v>813</v>
      </c>
      <c r="B209" s="688" t="s">
        <v>11950</v>
      </c>
      <c r="C209" s="1" t="s">
        <v>11951</v>
      </c>
      <c r="D209" s="7">
        <v>8124</v>
      </c>
      <c r="F209" s="688" t="s">
        <v>11716</v>
      </c>
    </row>
    <row r="210" spans="1:6">
      <c r="A210" s="688" t="s">
        <v>814</v>
      </c>
      <c r="B210" s="2" t="s">
        <v>5069</v>
      </c>
      <c r="C210" s="1" t="s">
        <v>11952</v>
      </c>
      <c r="D210" s="7">
        <v>7995</v>
      </c>
      <c r="F210" s="688" t="s">
        <v>11714</v>
      </c>
    </row>
    <row r="211" spans="1:6">
      <c r="A211" s="688" t="s">
        <v>815</v>
      </c>
      <c r="B211" s="2" t="s">
        <v>11953</v>
      </c>
      <c r="C211" s="1" t="s">
        <v>11954</v>
      </c>
      <c r="D211" s="7">
        <v>4993</v>
      </c>
      <c r="F211" s="688" t="s">
        <v>11714</v>
      </c>
    </row>
    <row r="212" spans="1:6">
      <c r="A212" s="688" t="s">
        <v>816</v>
      </c>
      <c r="B212" s="688" t="s">
        <v>11955</v>
      </c>
      <c r="C212" s="1" t="s">
        <v>11956</v>
      </c>
      <c r="D212" s="7">
        <v>8561</v>
      </c>
      <c r="F212" s="688" t="s">
        <v>11714</v>
      </c>
    </row>
    <row r="213" spans="1:6">
      <c r="A213" s="688" t="s">
        <v>826</v>
      </c>
      <c r="B213" s="688" t="s">
        <v>11957</v>
      </c>
      <c r="C213" s="1" t="s">
        <v>11958</v>
      </c>
      <c r="D213" s="7">
        <v>8987</v>
      </c>
      <c r="F213" s="688" t="s">
        <v>11714</v>
      </c>
    </row>
    <row r="214" spans="1:6">
      <c r="A214" s="688" t="s">
        <v>827</v>
      </c>
      <c r="B214" s="688" t="s">
        <v>11959</v>
      </c>
      <c r="C214" s="1" t="s">
        <v>11960</v>
      </c>
      <c r="D214" s="7">
        <v>7659</v>
      </c>
      <c r="F214" s="688" t="s">
        <v>11716</v>
      </c>
    </row>
    <row r="215" spans="1:6">
      <c r="A215" s="688" t="s">
        <v>828</v>
      </c>
      <c r="B215" s="688" t="s">
        <v>11961</v>
      </c>
      <c r="C215" s="1" t="s">
        <v>11962</v>
      </c>
      <c r="D215" s="7">
        <v>4988</v>
      </c>
      <c r="F215" s="688" t="s">
        <v>11716</v>
      </c>
    </row>
    <row r="216" spans="1:6">
      <c r="A216" s="688" t="s">
        <v>829</v>
      </c>
      <c r="B216" s="688" t="s">
        <v>11963</v>
      </c>
      <c r="C216" s="1" t="s">
        <v>11964</v>
      </c>
      <c r="D216" s="7">
        <v>8046</v>
      </c>
      <c r="F216" s="688" t="s">
        <v>11716</v>
      </c>
    </row>
    <row r="217" spans="1:6">
      <c r="A217" s="688" t="s">
        <v>830</v>
      </c>
      <c r="B217" s="688" t="s">
        <v>11965</v>
      </c>
      <c r="C217" s="1" t="s">
        <v>11966</v>
      </c>
      <c r="D217" s="8">
        <v>2513</v>
      </c>
      <c r="F217" s="688" t="s">
        <v>11716</v>
      </c>
    </row>
    <row r="218" spans="1:6">
      <c r="A218" s="688" t="s">
        <v>831</v>
      </c>
      <c r="B218" s="688" t="s">
        <v>11967</v>
      </c>
      <c r="C218" s="1" t="s">
        <v>11968</v>
      </c>
      <c r="D218" s="8">
        <v>6148</v>
      </c>
      <c r="F218" s="688" t="s">
        <v>11714</v>
      </c>
    </row>
    <row r="219" spans="1:6">
      <c r="A219" s="688" t="s">
        <v>832</v>
      </c>
      <c r="B219" s="688" t="s">
        <v>11969</v>
      </c>
      <c r="C219" s="1" t="s">
        <v>11970</v>
      </c>
      <c r="D219" s="8">
        <v>5626</v>
      </c>
      <c r="F219" s="688" t="s">
        <v>11716</v>
      </c>
    </row>
    <row r="220" spans="1:6">
      <c r="A220" s="688" t="s">
        <v>833</v>
      </c>
      <c r="B220" s="688" t="s">
        <v>11971</v>
      </c>
      <c r="C220" s="1" t="s">
        <v>11972</v>
      </c>
      <c r="D220" s="8">
        <v>9708</v>
      </c>
      <c r="F220" s="688" t="s">
        <v>11716</v>
      </c>
    </row>
    <row r="221" spans="1:6">
      <c r="A221" s="688" t="s">
        <v>834</v>
      </c>
      <c r="B221" s="688" t="s">
        <v>11973</v>
      </c>
      <c r="C221" s="1" t="s">
        <v>11974</v>
      </c>
      <c r="D221" s="7">
        <v>7435</v>
      </c>
      <c r="F221" s="688" t="s">
        <v>11714</v>
      </c>
    </row>
    <row r="222" spans="1:6">
      <c r="A222" s="688" t="s">
        <v>835</v>
      </c>
      <c r="B222" s="688" t="s">
        <v>11975</v>
      </c>
      <c r="C222" s="1" t="s">
        <v>11976</v>
      </c>
      <c r="D222" s="8">
        <v>6858</v>
      </c>
      <c r="F222" s="688" t="s">
        <v>11716</v>
      </c>
    </row>
    <row r="223" spans="1:6">
      <c r="A223" s="688" t="s">
        <v>836</v>
      </c>
      <c r="B223" s="688" t="s">
        <v>11977</v>
      </c>
      <c r="C223" s="1" t="s">
        <v>11978</v>
      </c>
      <c r="D223" s="7">
        <v>7342</v>
      </c>
      <c r="F223" s="688" t="s">
        <v>11714</v>
      </c>
    </row>
    <row r="224" spans="1:6">
      <c r="A224" s="688" t="s">
        <v>837</v>
      </c>
      <c r="B224" s="688" t="s">
        <v>11979</v>
      </c>
      <c r="C224" s="1" t="s">
        <v>11980</v>
      </c>
      <c r="D224" s="7">
        <v>7256</v>
      </c>
      <c r="F224" s="688" t="s">
        <v>11714</v>
      </c>
    </row>
    <row r="225" spans="1:6">
      <c r="A225" s="688" t="s">
        <v>838</v>
      </c>
      <c r="B225" s="688" t="s">
        <v>11981</v>
      </c>
      <c r="C225" s="1" t="s">
        <v>11982</v>
      </c>
      <c r="D225" s="7">
        <v>5187</v>
      </c>
      <c r="F225" s="688" t="s">
        <v>11714</v>
      </c>
    </row>
    <row r="226" spans="1:6">
      <c r="A226" s="688" t="s">
        <v>840</v>
      </c>
      <c r="B226" s="688" t="s">
        <v>11983</v>
      </c>
      <c r="C226" s="1" t="s">
        <v>11984</v>
      </c>
      <c r="D226" s="7">
        <v>7283</v>
      </c>
      <c r="F226" s="688" t="s">
        <v>11714</v>
      </c>
    </row>
    <row r="227" spans="1:6">
      <c r="A227" s="688" t="s">
        <v>841</v>
      </c>
      <c r="B227" s="688" t="s">
        <v>11985</v>
      </c>
      <c r="C227" s="1" t="s">
        <v>11986</v>
      </c>
      <c r="D227" s="8">
        <v>4871</v>
      </c>
      <c r="F227" s="688" t="s">
        <v>11716</v>
      </c>
    </row>
    <row r="228" spans="1:6">
      <c r="A228" s="688" t="s">
        <v>878</v>
      </c>
      <c r="B228" s="2" t="s">
        <v>11987</v>
      </c>
      <c r="C228" s="1" t="s">
        <v>11988</v>
      </c>
      <c r="D228" s="7">
        <v>4996</v>
      </c>
      <c r="F228" s="688" t="s">
        <v>11714</v>
      </c>
    </row>
    <row r="229" spans="1:6">
      <c r="A229" s="688" t="s">
        <v>879</v>
      </c>
      <c r="B229" s="688" t="s">
        <v>11989</v>
      </c>
      <c r="C229" s="1" t="s">
        <v>11990</v>
      </c>
      <c r="D229" s="8">
        <v>10059</v>
      </c>
      <c r="F229" s="688" t="s">
        <v>11716</v>
      </c>
    </row>
    <row r="230" spans="1:6">
      <c r="A230" s="688"/>
      <c r="B230" s="688"/>
      <c r="C230" s="1"/>
      <c r="D230" s="8"/>
      <c r="F230" s="688"/>
    </row>
    <row r="231" spans="1:6">
      <c r="A231" s="688" t="s">
        <v>11714</v>
      </c>
      <c r="D231" s="691">
        <f>SUM(D210:D213)+D218+D221+SUM(D223:D226)+D228</f>
        <v>76183</v>
      </c>
    </row>
    <row r="232" spans="1:6">
      <c r="A232" s="688" t="s">
        <v>11716</v>
      </c>
      <c r="D232" s="691">
        <f>D208+D209+SUM(D214:D217)+D219+D220+D222+D227+D229</f>
        <v>76806</v>
      </c>
    </row>
    <row r="233" spans="1:6">
      <c r="A233" s="688"/>
      <c r="D233" s="691"/>
    </row>
    <row r="234" spans="1:6">
      <c r="A234" s="688" t="s">
        <v>11991</v>
      </c>
    </row>
    <row r="255" spans="1:8">
      <c r="A255" s="688"/>
      <c r="B255" s="688"/>
      <c r="C255" s="688"/>
      <c r="D255" s="698"/>
      <c r="H255" s="688"/>
    </row>
    <row r="256" spans="1:8">
      <c r="A256" s="688"/>
      <c r="B256" s="688"/>
      <c r="C256" s="688"/>
      <c r="D256" s="698"/>
      <c r="H256" s="688"/>
    </row>
    <row r="264" spans="8:8">
      <c r="H264" s="688"/>
    </row>
    <row r="265" spans="8:8">
      <c r="H265" s="688"/>
    </row>
  </sheetData>
  <printOptions gridLinesSet="0"/>
  <pageMargins left="0.78740157480314965" right="0" top="0.51181102362204722" bottom="0.51181102362204722" header="0.51181102362204722" footer="0.51181102362204722"/>
  <pageSetup paperSize="9" scale="70" orientation="portrait" horizontalDpi="300" verticalDpi="300" r:id="rId1"/>
  <headerFooter alignWithMargins="0">
    <oddFooter>&amp;C&amp;"Times New Roman,Regular"&amp;8&amp;P of &amp;N</oddFooter>
  </headerFooter>
  <rowBreaks count="3" manualBreakCount="3">
    <brk id="47" max="5" man="1"/>
    <brk id="113" max="5" man="1"/>
    <brk id="172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80"/>
  <sheetViews>
    <sheetView showGridLines="0" zoomScaleNormal="100" workbookViewId="0"/>
  </sheetViews>
  <sheetFormatPr defaultColWidth="12.59765625" defaultRowHeight="14.5"/>
  <cols>
    <col min="1" max="1" width="4.8984375" style="438" customWidth="1"/>
    <col min="2" max="2" width="31.09765625" style="438" customWidth="1"/>
    <col min="3" max="3" width="11.59765625" style="438" customWidth="1"/>
    <col min="4" max="4" width="10" style="438" customWidth="1"/>
    <col min="5" max="5" width="2.296875" style="438" customWidth="1"/>
    <col min="6" max="6" width="35.8984375" style="438" customWidth="1"/>
    <col min="7" max="16384" width="12.59765625" style="438"/>
  </cols>
  <sheetData>
    <row r="1" spans="1:10">
      <c r="A1" s="435" t="s">
        <v>9176</v>
      </c>
      <c r="D1" s="456">
        <v>2016</v>
      </c>
    </row>
    <row r="3" spans="1:10">
      <c r="A3" s="435" t="s">
        <v>9449</v>
      </c>
      <c r="D3" s="457">
        <f t="shared" ref="D3" si="0">SUM(D10:D34)</f>
        <v>6158</v>
      </c>
    </row>
    <row r="5" spans="1:10">
      <c r="A5" s="435" t="s">
        <v>9410</v>
      </c>
      <c r="D5" s="458">
        <f>CAMDEN!D5</f>
        <v>12482</v>
      </c>
      <c r="F5" s="438" t="s">
        <v>9221</v>
      </c>
    </row>
    <row r="6" spans="1:10">
      <c r="D6" s="457">
        <f t="shared" ref="D6" si="1">SUM(D10:D34)</f>
        <v>6158</v>
      </c>
      <c r="F6" s="435" t="s">
        <v>9174</v>
      </c>
    </row>
    <row r="7" spans="1:10" ht="15" thickBot="1">
      <c r="A7" s="459"/>
      <c r="D7" s="460">
        <f>WESTMINSTER!D7</f>
        <v>57053</v>
      </c>
      <c r="F7" s="435" t="s">
        <v>9313</v>
      </c>
    </row>
    <row r="8" spans="1:10" ht="15" thickBot="1">
      <c r="A8" s="459"/>
      <c r="D8" s="460">
        <f>SUM(D5:D7)</f>
        <v>75693</v>
      </c>
    </row>
    <row r="9" spans="1:10">
      <c r="F9" s="435"/>
    </row>
    <row r="10" spans="1:10">
      <c r="A10" s="435" t="s">
        <v>812</v>
      </c>
      <c r="B10" s="435" t="s">
        <v>9450</v>
      </c>
      <c r="C10" s="306" t="s">
        <v>9451</v>
      </c>
      <c r="D10" s="316">
        <v>6158</v>
      </c>
      <c r="F10" s="435" t="s">
        <v>9410</v>
      </c>
      <c r="H10" s="292"/>
      <c r="J10" s="292"/>
    </row>
    <row r="11" spans="1:10">
      <c r="A11" s="435" t="s">
        <v>813</v>
      </c>
      <c r="B11" s="435" t="s">
        <v>9452</v>
      </c>
      <c r="C11" s="306" t="s">
        <v>9453</v>
      </c>
      <c r="D11" s="457">
        <v>0</v>
      </c>
      <c r="F11" s="435" t="s">
        <v>9410</v>
      </c>
      <c r="H11" s="292"/>
      <c r="J11" s="292"/>
    </row>
    <row r="12" spans="1:10">
      <c r="A12" s="435" t="s">
        <v>814</v>
      </c>
      <c r="B12" s="435" t="s">
        <v>9454</v>
      </c>
      <c r="C12" s="306" t="s">
        <v>9455</v>
      </c>
      <c r="D12" s="457">
        <v>0</v>
      </c>
      <c r="F12" s="435" t="s">
        <v>9410</v>
      </c>
      <c r="H12" s="292"/>
      <c r="J12" s="292"/>
    </row>
    <row r="13" spans="1:10">
      <c r="A13" s="435">
        <v>4</v>
      </c>
      <c r="B13" s="435" t="s">
        <v>9456</v>
      </c>
      <c r="C13" s="306" t="s">
        <v>9457</v>
      </c>
      <c r="D13" s="457">
        <v>0</v>
      </c>
      <c r="F13" s="435" t="s">
        <v>9410</v>
      </c>
      <c r="H13" s="292"/>
      <c r="J13" s="292"/>
    </row>
    <row r="14" spans="1:10">
      <c r="A14" s="435" t="s">
        <v>816</v>
      </c>
      <c r="B14" s="435" t="s">
        <v>9458</v>
      </c>
      <c r="C14" s="306" t="s">
        <v>9459</v>
      </c>
      <c r="D14" s="457">
        <v>0</v>
      </c>
      <c r="F14" s="435" t="s">
        <v>9410</v>
      </c>
      <c r="H14" s="292"/>
      <c r="J14" s="292"/>
    </row>
    <row r="15" spans="1:10">
      <c r="A15" s="435" t="s">
        <v>826</v>
      </c>
      <c r="B15" s="435" t="s">
        <v>9460</v>
      </c>
      <c r="C15" s="306" t="s">
        <v>9461</v>
      </c>
      <c r="D15" s="457">
        <v>0</v>
      </c>
      <c r="F15" s="435" t="s">
        <v>9410</v>
      </c>
      <c r="H15" s="292"/>
      <c r="J15" s="292"/>
    </row>
    <row r="16" spans="1:10">
      <c r="A16" s="435" t="s">
        <v>827</v>
      </c>
      <c r="B16" s="435" t="s">
        <v>5628</v>
      </c>
      <c r="C16" s="306" t="s">
        <v>9462</v>
      </c>
      <c r="D16" s="457">
        <v>0</v>
      </c>
      <c r="F16" s="435" t="s">
        <v>9410</v>
      </c>
      <c r="H16" s="292"/>
      <c r="J16" s="292"/>
    </row>
    <row r="17" spans="1:10">
      <c r="A17" s="435" t="s">
        <v>828</v>
      </c>
      <c r="B17" s="435" t="s">
        <v>9463</v>
      </c>
      <c r="C17" s="306" t="s">
        <v>9464</v>
      </c>
      <c r="D17" s="457">
        <v>0</v>
      </c>
      <c r="F17" s="435" t="s">
        <v>9410</v>
      </c>
      <c r="H17" s="292"/>
      <c r="J17" s="292"/>
    </row>
    <row r="18" spans="1:10">
      <c r="A18" s="435" t="s">
        <v>829</v>
      </c>
      <c r="B18" s="435" t="s">
        <v>9465</v>
      </c>
      <c r="C18" s="306" t="s">
        <v>9466</v>
      </c>
      <c r="D18" s="457">
        <v>0</v>
      </c>
      <c r="F18" s="435" t="s">
        <v>9410</v>
      </c>
      <c r="H18" s="292"/>
      <c r="J18" s="292"/>
    </row>
    <row r="19" spans="1:10">
      <c r="A19" s="435" t="s">
        <v>830</v>
      </c>
      <c r="B19" s="435" t="s">
        <v>9467</v>
      </c>
      <c r="C19" s="306" t="s">
        <v>9468</v>
      </c>
      <c r="D19" s="457">
        <v>0</v>
      </c>
      <c r="F19" s="435" t="s">
        <v>9410</v>
      </c>
      <c r="H19" s="292"/>
      <c r="J19" s="292"/>
    </row>
    <row r="20" spans="1:10">
      <c r="A20" s="435" t="s">
        <v>831</v>
      </c>
      <c r="B20" s="435" t="s">
        <v>9469</v>
      </c>
      <c r="C20" s="306" t="s">
        <v>9470</v>
      </c>
      <c r="D20" s="457">
        <v>0</v>
      </c>
      <c r="F20" s="435" t="s">
        <v>9410</v>
      </c>
      <c r="H20" s="292"/>
      <c r="J20" s="292"/>
    </row>
    <row r="21" spans="1:10">
      <c r="A21" s="435" t="s">
        <v>832</v>
      </c>
      <c r="B21" s="435" t="s">
        <v>9471</v>
      </c>
      <c r="C21" s="306" t="s">
        <v>9472</v>
      </c>
      <c r="D21" s="457">
        <v>0</v>
      </c>
      <c r="F21" s="435" t="s">
        <v>9410</v>
      </c>
      <c r="H21" s="292"/>
      <c r="J21" s="292"/>
    </row>
    <row r="22" spans="1:10">
      <c r="A22" s="435" t="s">
        <v>833</v>
      </c>
      <c r="B22" s="435" t="s">
        <v>9473</v>
      </c>
      <c r="C22" s="306" t="s">
        <v>9474</v>
      </c>
      <c r="D22" s="457">
        <v>0</v>
      </c>
      <c r="F22" s="435" t="s">
        <v>9410</v>
      </c>
      <c r="H22" s="292"/>
      <c r="J22" s="292"/>
    </row>
    <row r="23" spans="1:10">
      <c r="A23" s="435" t="s">
        <v>834</v>
      </c>
      <c r="B23" s="435" t="s">
        <v>9475</v>
      </c>
      <c r="C23" s="306" t="s">
        <v>9476</v>
      </c>
      <c r="D23" s="457">
        <v>0</v>
      </c>
      <c r="F23" s="435" t="s">
        <v>9410</v>
      </c>
      <c r="H23" s="292"/>
      <c r="J23" s="292"/>
    </row>
    <row r="24" spans="1:10">
      <c r="A24" s="435" t="s">
        <v>835</v>
      </c>
      <c r="B24" s="435" t="s">
        <v>9477</v>
      </c>
      <c r="C24" s="306" t="s">
        <v>9478</v>
      </c>
      <c r="D24" s="457">
        <v>0</v>
      </c>
      <c r="F24" s="435" t="s">
        <v>9410</v>
      </c>
      <c r="H24" s="292"/>
      <c r="J24" s="292"/>
    </row>
    <row r="25" spans="1:10">
      <c r="A25" s="435" t="s">
        <v>836</v>
      </c>
      <c r="B25" s="435" t="s">
        <v>9479</v>
      </c>
      <c r="C25" s="306" t="s">
        <v>9480</v>
      </c>
      <c r="D25" s="457">
        <v>0</v>
      </c>
      <c r="F25" s="435" t="s">
        <v>9410</v>
      </c>
      <c r="H25" s="292"/>
      <c r="J25" s="292"/>
    </row>
    <row r="26" spans="1:10">
      <c r="A26" s="435" t="s">
        <v>837</v>
      </c>
      <c r="B26" s="435" t="s">
        <v>9481</v>
      </c>
      <c r="C26" s="306" t="s">
        <v>9482</v>
      </c>
      <c r="D26" s="457">
        <v>0</v>
      </c>
      <c r="F26" s="435" t="s">
        <v>9410</v>
      </c>
      <c r="H26" s="292"/>
      <c r="J26" s="292"/>
    </row>
    <row r="27" spans="1:10">
      <c r="A27" s="435" t="s">
        <v>838</v>
      </c>
      <c r="B27" s="435" t="s">
        <v>9483</v>
      </c>
      <c r="C27" s="306" t="s">
        <v>9484</v>
      </c>
      <c r="D27" s="457">
        <v>0</v>
      </c>
      <c r="F27" s="435" t="s">
        <v>9410</v>
      </c>
      <c r="H27" s="292"/>
      <c r="J27" s="292"/>
    </row>
    <row r="28" spans="1:10">
      <c r="A28" s="435" t="s">
        <v>840</v>
      </c>
      <c r="B28" s="435" t="s">
        <v>9485</v>
      </c>
      <c r="C28" s="306" t="s">
        <v>9486</v>
      </c>
      <c r="D28" s="457">
        <v>0</v>
      </c>
      <c r="F28" s="435" t="s">
        <v>9410</v>
      </c>
      <c r="H28" s="292"/>
      <c r="J28" s="292"/>
    </row>
    <row r="29" spans="1:10">
      <c r="A29" s="435" t="s">
        <v>841</v>
      </c>
      <c r="B29" s="435" t="s">
        <v>9487</v>
      </c>
      <c r="C29" s="306" t="s">
        <v>9488</v>
      </c>
      <c r="D29" s="457">
        <v>0</v>
      </c>
      <c r="F29" s="435" t="s">
        <v>9410</v>
      </c>
      <c r="H29" s="292"/>
      <c r="J29" s="292"/>
    </row>
    <row r="30" spans="1:10">
      <c r="A30" s="435" t="s">
        <v>878</v>
      </c>
      <c r="B30" s="435" t="s">
        <v>9489</v>
      </c>
      <c r="C30" s="306" t="s">
        <v>9490</v>
      </c>
      <c r="D30" s="457">
        <v>0</v>
      </c>
      <c r="F30" s="435" t="s">
        <v>9410</v>
      </c>
      <c r="H30" s="292"/>
      <c r="J30" s="292"/>
    </row>
    <row r="31" spans="1:10">
      <c r="A31" s="435" t="s">
        <v>879</v>
      </c>
      <c r="B31" s="435" t="s">
        <v>9491</v>
      </c>
      <c r="C31" s="306" t="s">
        <v>9492</v>
      </c>
      <c r="D31" s="457">
        <v>0</v>
      </c>
      <c r="F31" s="435" t="s">
        <v>9410</v>
      </c>
      <c r="H31" s="292"/>
      <c r="J31" s="292"/>
    </row>
    <row r="32" spans="1:10">
      <c r="A32" s="435" t="s">
        <v>880</v>
      </c>
      <c r="B32" s="435" t="s">
        <v>55</v>
      </c>
      <c r="C32" s="306" t="s">
        <v>9493</v>
      </c>
      <c r="D32" s="457">
        <v>0</v>
      </c>
      <c r="F32" s="435" t="s">
        <v>9410</v>
      </c>
      <c r="H32" s="292"/>
      <c r="J32" s="292"/>
    </row>
    <row r="33" spans="1:10">
      <c r="A33" s="461">
        <v>24</v>
      </c>
      <c r="B33" s="435" t="s">
        <v>9494</v>
      </c>
      <c r="C33" s="306" t="s">
        <v>9495</v>
      </c>
      <c r="D33" s="457">
        <v>0</v>
      </c>
      <c r="F33" s="435" t="s">
        <v>9410</v>
      </c>
      <c r="H33" s="292"/>
      <c r="J33" s="292"/>
    </row>
    <row r="34" spans="1:10">
      <c r="A34" s="461">
        <v>25</v>
      </c>
      <c r="B34" s="435" t="s">
        <v>9496</v>
      </c>
      <c r="C34" s="306" t="s">
        <v>9497</v>
      </c>
      <c r="D34" s="457">
        <v>0</v>
      </c>
      <c r="F34" s="435" t="s">
        <v>9410</v>
      </c>
      <c r="H34" s="292"/>
      <c r="J34" s="292"/>
    </row>
    <row r="37" spans="1:10">
      <c r="A37" s="435"/>
      <c r="B37" s="435"/>
      <c r="C37" s="435"/>
      <c r="D37" s="456"/>
      <c r="F37" s="435"/>
    </row>
    <row r="38" spans="1:10">
      <c r="A38" s="435"/>
      <c r="B38" s="435"/>
      <c r="C38" s="435"/>
      <c r="D38" s="456"/>
      <c r="F38" s="435"/>
    </row>
    <row r="39" spans="1:10">
      <c r="D39" s="456"/>
      <c r="F39" s="435"/>
    </row>
    <row r="40" spans="1:10">
      <c r="D40" s="462"/>
    </row>
    <row r="41" spans="1:10">
      <c r="D41" s="456"/>
    </row>
    <row r="42" spans="1:10">
      <c r="D42" s="462"/>
    </row>
    <row r="43" spans="1:10">
      <c r="A43" s="435"/>
      <c r="B43" s="435"/>
      <c r="C43" s="435"/>
      <c r="D43" s="456"/>
      <c r="F43" s="435"/>
    </row>
    <row r="44" spans="1:10">
      <c r="A44" s="435"/>
      <c r="B44" s="435"/>
      <c r="C44" s="435"/>
      <c r="D44" s="456"/>
      <c r="F44" s="435"/>
    </row>
    <row r="45" spans="1:10">
      <c r="A45" s="435"/>
      <c r="B45" s="435"/>
      <c r="C45" s="435"/>
      <c r="D45" s="456"/>
      <c r="F45" s="435"/>
    </row>
    <row r="46" spans="1:10">
      <c r="A46" s="435"/>
      <c r="B46" s="435"/>
      <c r="C46" s="435"/>
      <c r="D46" s="456"/>
      <c r="F46" s="435"/>
    </row>
    <row r="47" spans="1:10">
      <c r="A47" s="435"/>
      <c r="B47" s="435"/>
      <c r="C47" s="435"/>
      <c r="D47" s="456"/>
      <c r="F47" s="435"/>
    </row>
    <row r="48" spans="1:10">
      <c r="A48" s="435"/>
      <c r="B48" s="435"/>
      <c r="C48" s="435"/>
      <c r="D48" s="456"/>
      <c r="F48" s="435"/>
    </row>
    <row r="49" spans="1:6">
      <c r="A49" s="435"/>
      <c r="B49" s="435"/>
      <c r="C49" s="435"/>
      <c r="D49" s="456"/>
      <c r="F49" s="435"/>
    </row>
    <row r="50" spans="1:6">
      <c r="A50" s="435"/>
      <c r="B50" s="435"/>
      <c r="C50" s="435"/>
      <c r="D50" s="456"/>
      <c r="F50" s="435"/>
    </row>
    <row r="51" spans="1:6">
      <c r="A51" s="435"/>
      <c r="B51" s="435"/>
      <c r="C51" s="435"/>
      <c r="D51" s="456"/>
      <c r="F51" s="435"/>
    </row>
    <row r="52" spans="1:6">
      <c r="A52" s="435"/>
      <c r="B52" s="435"/>
      <c r="C52" s="435"/>
      <c r="D52" s="456"/>
      <c r="F52" s="435"/>
    </row>
    <row r="53" spans="1:6">
      <c r="A53" s="435"/>
      <c r="B53" s="435"/>
      <c r="C53" s="435"/>
      <c r="D53" s="456"/>
      <c r="F53" s="435"/>
    </row>
    <row r="54" spans="1:6">
      <c r="D54" s="456"/>
      <c r="F54" s="435"/>
    </row>
    <row r="55" spans="1:6">
      <c r="D55" s="462"/>
    </row>
    <row r="56" spans="1:6">
      <c r="D56" s="456"/>
    </row>
    <row r="57" spans="1:6">
      <c r="D57" s="462"/>
    </row>
    <row r="58" spans="1:6">
      <c r="A58" s="435"/>
      <c r="B58" s="435"/>
      <c r="C58" s="435"/>
      <c r="D58" s="456"/>
      <c r="F58" s="435"/>
    </row>
    <row r="59" spans="1:6">
      <c r="D59" s="456"/>
      <c r="F59" s="435"/>
    </row>
    <row r="60" spans="1:6">
      <c r="D60" s="462"/>
    </row>
    <row r="61" spans="1:6">
      <c r="D61" s="456"/>
    </row>
    <row r="62" spans="1:6">
      <c r="D62" s="462"/>
    </row>
    <row r="63" spans="1:6">
      <c r="A63" s="435"/>
      <c r="B63" s="435"/>
      <c r="C63" s="435"/>
      <c r="D63" s="456"/>
      <c r="F63" s="435"/>
    </row>
    <row r="64" spans="1:6">
      <c r="A64" s="435"/>
      <c r="B64" s="435"/>
      <c r="C64" s="435"/>
      <c r="D64" s="456"/>
      <c r="F64" s="435"/>
    </row>
    <row r="65" spans="1:6">
      <c r="A65" s="435"/>
      <c r="B65" s="435"/>
      <c r="C65" s="435"/>
      <c r="D65" s="456"/>
      <c r="F65" s="435"/>
    </row>
    <row r="66" spans="1:6">
      <c r="A66" s="435"/>
      <c r="B66" s="435"/>
      <c r="C66" s="435"/>
      <c r="D66" s="456"/>
      <c r="F66" s="435"/>
    </row>
    <row r="67" spans="1:6">
      <c r="A67" s="435"/>
      <c r="B67" s="435"/>
      <c r="C67" s="435"/>
      <c r="D67" s="456"/>
      <c r="F67" s="435"/>
    </row>
    <row r="68" spans="1:6">
      <c r="A68" s="435"/>
      <c r="B68" s="435"/>
      <c r="C68" s="435"/>
      <c r="D68" s="456"/>
      <c r="F68" s="435"/>
    </row>
    <row r="69" spans="1:6">
      <c r="D69" s="456"/>
      <c r="F69" s="435"/>
    </row>
    <row r="70" spans="1:6">
      <c r="D70" s="462"/>
    </row>
    <row r="71" spans="1:6">
      <c r="D71" s="456"/>
    </row>
    <row r="72" spans="1:6">
      <c r="D72" s="462"/>
    </row>
    <row r="73" spans="1:6">
      <c r="A73" s="435"/>
      <c r="B73" s="435"/>
      <c r="C73" s="435"/>
      <c r="D73" s="456"/>
      <c r="F73" s="435"/>
    </row>
    <row r="76" spans="1:6">
      <c r="A76" s="435"/>
      <c r="D76" s="456"/>
    </row>
    <row r="77" spans="1:6">
      <c r="A77" s="435"/>
      <c r="D77" s="456"/>
    </row>
    <row r="78" spans="1:6">
      <c r="A78" s="435"/>
      <c r="D78" s="456"/>
    </row>
    <row r="80" spans="1:6">
      <c r="A80" s="435"/>
    </row>
  </sheetData>
  <printOptions gridLinesSet="0"/>
  <pageMargins left="0.78740157480314965" right="0" top="0.51181102362204722" bottom="0.51181102362204722" header="0.51181102362204722" footer="0.51181102362204722"/>
  <pageSetup paperSize="9" scale="77" orientation="portrait" horizontalDpi="300" verticalDpi="300" r:id="rId1"/>
  <headerFooter alignWithMargins="0">
    <oddFooter>&amp;C&amp;"Times New Roman,Regular"&amp;8&amp;P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154"/>
  <sheetViews>
    <sheetView showGridLines="0" zoomScaleNormal="100" workbookViewId="0"/>
  </sheetViews>
  <sheetFormatPr defaultColWidth="12.59765625" defaultRowHeight="14.5"/>
  <cols>
    <col min="1" max="1" width="4.8984375" style="283" customWidth="1"/>
    <col min="2" max="2" width="45.69921875" style="283" customWidth="1"/>
    <col min="3" max="3" width="11.59765625" style="283" customWidth="1"/>
    <col min="4" max="4" width="10" style="283" customWidth="1"/>
    <col min="5" max="5" width="2.296875" style="283" customWidth="1"/>
    <col min="6" max="6" width="41.8984375" style="283" bestFit="1" customWidth="1"/>
    <col min="7" max="16384" width="12.59765625" style="283"/>
  </cols>
  <sheetData>
    <row r="1" spans="1:6">
      <c r="A1" s="282" t="s">
        <v>1075</v>
      </c>
      <c r="D1" s="4">
        <v>2016</v>
      </c>
    </row>
    <row r="2" spans="1:6">
      <c r="A2" s="282"/>
      <c r="D2" s="4"/>
    </row>
    <row r="3" spans="1:6">
      <c r="A3" s="282" t="s">
        <v>6019</v>
      </c>
      <c r="D3" s="284">
        <f>D38</f>
        <v>68201</v>
      </c>
    </row>
    <row r="4" spans="1:6">
      <c r="A4" s="282" t="s">
        <v>6020</v>
      </c>
      <c r="D4" s="285">
        <f t="shared" ref="D4" si="0">D59</f>
        <v>90162</v>
      </c>
    </row>
    <row r="5" spans="1:6">
      <c r="A5" s="282" t="s">
        <v>6021</v>
      </c>
      <c r="D5" s="286">
        <f t="shared" ref="D5" si="1">D90</f>
        <v>100365</v>
      </c>
    </row>
    <row r="6" spans="1:6" ht="15" thickBot="1">
      <c r="A6" s="282" t="s">
        <v>6022</v>
      </c>
      <c r="D6" s="287">
        <f>D122</f>
        <v>137838</v>
      </c>
    </row>
    <row r="7" spans="1:6" ht="15" thickBot="1">
      <c r="A7" s="282"/>
      <c r="D7" s="287">
        <f>SUM(D3:D6)</f>
        <v>396566</v>
      </c>
    </row>
    <row r="8" spans="1:6">
      <c r="A8" s="2"/>
      <c r="B8" s="2"/>
      <c r="C8" s="2"/>
      <c r="D8" s="2"/>
      <c r="E8" s="2"/>
      <c r="F8" s="2"/>
    </row>
    <row r="9" spans="1:6">
      <c r="A9" s="288" t="s">
        <v>6023</v>
      </c>
      <c r="B9" s="2"/>
      <c r="C9" s="2"/>
      <c r="D9" s="3">
        <f>DURHAM!D19</f>
        <v>65732</v>
      </c>
      <c r="E9" s="2"/>
      <c r="F9" s="2" t="s">
        <v>6024</v>
      </c>
    </row>
    <row r="10" spans="1:6" ht="15" thickBot="1">
      <c r="A10" s="2"/>
      <c r="B10" s="2"/>
      <c r="C10" s="2"/>
      <c r="D10" s="68">
        <f>D51</f>
        <v>12328</v>
      </c>
      <c r="E10" s="2"/>
      <c r="F10" s="282" t="s">
        <v>6025</v>
      </c>
    </row>
    <row r="11" spans="1:6" ht="15" thickBot="1">
      <c r="A11" s="2"/>
      <c r="B11" s="2"/>
      <c r="C11" s="2"/>
      <c r="D11" s="289">
        <f>D9+D10</f>
        <v>78060</v>
      </c>
      <c r="E11" s="2"/>
      <c r="F11" s="2"/>
    </row>
    <row r="12" spans="1:6">
      <c r="A12" s="2"/>
      <c r="B12" s="2"/>
      <c r="C12" s="2"/>
      <c r="D12" s="2"/>
      <c r="E12" s="2"/>
      <c r="F12" s="2"/>
    </row>
    <row r="13" spans="1:6">
      <c r="A13" s="282" t="s">
        <v>6026</v>
      </c>
      <c r="D13" s="284">
        <f>D52</f>
        <v>55873</v>
      </c>
      <c r="F13" s="282" t="s">
        <v>6025</v>
      </c>
    </row>
    <row r="14" spans="1:6" ht="15" thickBot="1">
      <c r="A14" s="282"/>
      <c r="D14" s="290">
        <f>D150</f>
        <v>21685</v>
      </c>
      <c r="F14" s="282" t="s">
        <v>6027</v>
      </c>
    </row>
    <row r="15" spans="1:6" ht="15" thickBot="1">
      <c r="A15" s="282"/>
      <c r="D15" s="291">
        <f>D13+D14</f>
        <v>77558</v>
      </c>
      <c r="F15" s="282"/>
    </row>
    <row r="16" spans="1:6">
      <c r="A16" s="2"/>
      <c r="B16" s="2"/>
      <c r="C16" s="2"/>
      <c r="D16" s="2"/>
      <c r="E16" s="2"/>
      <c r="F16" s="2"/>
    </row>
    <row r="17" spans="1:6">
      <c r="A17" s="282" t="s">
        <v>6028</v>
      </c>
      <c r="D17" s="284">
        <f>D81</f>
        <v>29281</v>
      </c>
      <c r="F17" s="282" t="s">
        <v>6029</v>
      </c>
    </row>
    <row r="18" spans="1:6" ht="15" thickBot="1">
      <c r="A18" s="2"/>
      <c r="B18" s="2"/>
      <c r="C18" s="2"/>
      <c r="D18" s="285">
        <f>D114</f>
        <v>48933</v>
      </c>
      <c r="F18" s="282" t="s">
        <v>6030</v>
      </c>
    </row>
    <row r="19" spans="1:6" ht="15" thickBot="1">
      <c r="A19" s="2"/>
      <c r="B19" s="2"/>
      <c r="C19" s="2"/>
      <c r="D19" s="291">
        <f>D17+D18</f>
        <v>78214</v>
      </c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82" t="s">
        <v>6031</v>
      </c>
      <c r="D21" s="285">
        <f>D82</f>
        <v>24158</v>
      </c>
      <c r="F21" s="282" t="s">
        <v>6029</v>
      </c>
    </row>
    <row r="22" spans="1:6" ht="15" thickBot="1">
      <c r="D22" s="287">
        <f>D115</f>
        <v>51432</v>
      </c>
      <c r="F22" s="282" t="s">
        <v>6030</v>
      </c>
    </row>
    <row r="23" spans="1:6" ht="15" thickBot="1">
      <c r="D23" s="287">
        <f t="shared" ref="D23" si="2">D21+D22</f>
        <v>75590</v>
      </c>
    </row>
    <row r="24" spans="1:6">
      <c r="A24" s="2"/>
      <c r="B24" s="2"/>
      <c r="C24" s="2"/>
      <c r="D24" s="2"/>
      <c r="E24" s="2"/>
      <c r="F24" s="2"/>
    </row>
    <row r="25" spans="1:6">
      <c r="A25" s="282" t="s">
        <v>6032</v>
      </c>
      <c r="D25" s="285">
        <f>D83</f>
        <v>36723</v>
      </c>
      <c r="F25" s="282" t="s">
        <v>6029</v>
      </c>
    </row>
    <row r="26" spans="1:6" ht="15" thickBot="1">
      <c r="A26" s="282"/>
      <c r="D26" s="285">
        <f>D151</f>
        <v>41348</v>
      </c>
      <c r="F26" s="282" t="s">
        <v>6027</v>
      </c>
    </row>
    <row r="27" spans="1:6" ht="15" thickBot="1">
      <c r="A27" s="282"/>
      <c r="D27" s="291">
        <f>D25+D26</f>
        <v>78071</v>
      </c>
      <c r="F27" s="282"/>
    </row>
    <row r="28" spans="1:6">
      <c r="D28" s="284"/>
    </row>
    <row r="29" spans="1:6">
      <c r="A29" s="282" t="s">
        <v>6033</v>
      </c>
      <c r="D29" s="284">
        <f>D152</f>
        <v>74805</v>
      </c>
      <c r="F29" s="282" t="s">
        <v>6027</v>
      </c>
    </row>
    <row r="30" spans="1:6">
      <c r="D30" s="284"/>
    </row>
    <row r="31" spans="1:6">
      <c r="A31" s="282" t="s">
        <v>1041</v>
      </c>
      <c r="D31" s="285">
        <f>D10+D15+D27+D23+D19+D29</f>
        <v>396566</v>
      </c>
    </row>
    <row r="32" spans="1:6">
      <c r="D32" s="284"/>
    </row>
    <row r="33" spans="1:6">
      <c r="A33" s="282" t="s">
        <v>6034</v>
      </c>
      <c r="D33" s="285"/>
    </row>
    <row r="34" spans="1:6">
      <c r="A34" s="282"/>
      <c r="D34" s="285"/>
    </row>
    <row r="35" spans="1:6">
      <c r="A35" s="282"/>
    </row>
    <row r="36" spans="1:6">
      <c r="A36" s="282"/>
      <c r="D36" s="10" t="s">
        <v>285</v>
      </c>
      <c r="E36" s="5"/>
      <c r="F36" s="38" t="s">
        <v>4116</v>
      </c>
    </row>
    <row r="37" spans="1:6">
      <c r="A37" s="282"/>
      <c r="D37" s="4">
        <v>2016</v>
      </c>
      <c r="F37" s="6" t="s">
        <v>286</v>
      </c>
    </row>
    <row r="38" spans="1:6">
      <c r="A38" s="282" t="s">
        <v>6019</v>
      </c>
      <c r="D38" s="285">
        <f>SUM(D39:D49)</f>
        <v>68201</v>
      </c>
    </row>
    <row r="39" spans="1:6">
      <c r="A39" s="282" t="s">
        <v>812</v>
      </c>
      <c r="B39" s="282" t="s">
        <v>6035</v>
      </c>
      <c r="C39" s="292" t="s">
        <v>6036</v>
      </c>
      <c r="D39" s="293">
        <v>5903</v>
      </c>
      <c r="F39" s="282" t="s">
        <v>6026</v>
      </c>
    </row>
    <row r="40" spans="1:6">
      <c r="A40" s="282" t="s">
        <v>813</v>
      </c>
      <c r="B40" s="282" t="s">
        <v>6037</v>
      </c>
      <c r="C40" s="292" t="s">
        <v>6038</v>
      </c>
      <c r="D40" s="293">
        <v>5597</v>
      </c>
      <c r="F40" s="288" t="s">
        <v>6023</v>
      </c>
    </row>
    <row r="41" spans="1:6">
      <c r="A41" s="282" t="s">
        <v>814</v>
      </c>
      <c r="B41" s="282" t="s">
        <v>6039</v>
      </c>
      <c r="C41" s="292" t="s">
        <v>6040</v>
      </c>
      <c r="D41" s="293">
        <v>7003</v>
      </c>
      <c r="F41" s="282" t="s">
        <v>6026</v>
      </c>
    </row>
    <row r="42" spans="1:6">
      <c r="A42" s="282" t="s">
        <v>815</v>
      </c>
      <c r="B42" s="282" t="s">
        <v>6041</v>
      </c>
      <c r="C42" s="292" t="s">
        <v>6042</v>
      </c>
      <c r="D42" s="293">
        <v>6286</v>
      </c>
      <c r="F42" s="282" t="s">
        <v>6026</v>
      </c>
    </row>
    <row r="43" spans="1:6">
      <c r="A43" s="282" t="s">
        <v>816</v>
      </c>
      <c r="B43" s="282" t="s">
        <v>6043</v>
      </c>
      <c r="C43" s="292" t="s">
        <v>6044</v>
      </c>
      <c r="D43" s="293">
        <v>6731</v>
      </c>
      <c r="F43" s="288" t="s">
        <v>6023</v>
      </c>
    </row>
    <row r="44" spans="1:6">
      <c r="A44" s="282" t="s">
        <v>826</v>
      </c>
      <c r="B44" s="282" t="s">
        <v>6045</v>
      </c>
      <c r="C44" s="292" t="s">
        <v>6046</v>
      </c>
      <c r="D44" s="293">
        <v>5358</v>
      </c>
      <c r="F44" s="282" t="s">
        <v>6026</v>
      </c>
    </row>
    <row r="45" spans="1:6">
      <c r="A45" s="282" t="s">
        <v>827</v>
      </c>
      <c r="B45" s="282" t="s">
        <v>6047</v>
      </c>
      <c r="C45" s="292" t="s">
        <v>6048</v>
      </c>
      <c r="D45" s="293">
        <v>6179</v>
      </c>
      <c r="F45" s="282" t="s">
        <v>6026</v>
      </c>
    </row>
    <row r="46" spans="1:6">
      <c r="A46" s="282" t="s">
        <v>828</v>
      </c>
      <c r="B46" s="282" t="s">
        <v>6049</v>
      </c>
      <c r="C46" s="292" t="s">
        <v>6050</v>
      </c>
      <c r="D46" s="293">
        <v>7188</v>
      </c>
      <c r="F46" s="282" t="s">
        <v>6026</v>
      </c>
    </row>
    <row r="47" spans="1:6">
      <c r="A47" s="282" t="s">
        <v>829</v>
      </c>
      <c r="B47" s="282" t="s">
        <v>5314</v>
      </c>
      <c r="C47" s="292" t="s">
        <v>6051</v>
      </c>
      <c r="D47" s="293">
        <v>5815</v>
      </c>
      <c r="F47" s="282" t="s">
        <v>6026</v>
      </c>
    </row>
    <row r="48" spans="1:6">
      <c r="A48" s="282" t="s">
        <v>830</v>
      </c>
      <c r="B48" s="282" t="s">
        <v>746</v>
      </c>
      <c r="C48" s="292" t="s">
        <v>6052</v>
      </c>
      <c r="D48" s="293">
        <v>6693</v>
      </c>
      <c r="F48" s="282" t="s">
        <v>6026</v>
      </c>
    </row>
    <row r="49" spans="1:10">
      <c r="A49" s="282" t="s">
        <v>831</v>
      </c>
      <c r="B49" s="282" t="s">
        <v>5586</v>
      </c>
      <c r="C49" s="292" t="s">
        <v>6053</v>
      </c>
      <c r="D49" s="293">
        <v>5448</v>
      </c>
      <c r="F49" s="282" t="s">
        <v>6026</v>
      </c>
    </row>
    <row r="50" spans="1:10">
      <c r="A50" s="282"/>
      <c r="B50" s="282"/>
      <c r="C50" s="292"/>
      <c r="D50" s="293"/>
      <c r="F50" s="282"/>
    </row>
    <row r="51" spans="1:10">
      <c r="A51" s="288" t="s">
        <v>6054</v>
      </c>
      <c r="D51" s="285">
        <f>D40+D43</f>
        <v>12328</v>
      </c>
    </row>
    <row r="52" spans="1:10">
      <c r="A52" s="282" t="s">
        <v>6055</v>
      </c>
      <c r="D52" s="285">
        <f>D39+D41+D42+SUM(D44:D49)</f>
        <v>55873</v>
      </c>
    </row>
    <row r="53" spans="1:10">
      <c r="A53" s="282"/>
      <c r="D53" s="285"/>
    </row>
    <row r="54" spans="1:10">
      <c r="A54" s="282" t="s">
        <v>6056</v>
      </c>
      <c r="B54" s="282"/>
      <c r="C54" s="282"/>
      <c r="D54" s="294"/>
    </row>
    <row r="55" spans="1:10">
      <c r="A55" s="282"/>
      <c r="D55" s="285"/>
    </row>
    <row r="56" spans="1:10">
      <c r="A56" s="282"/>
      <c r="B56" s="282"/>
      <c r="C56" s="282"/>
      <c r="D56" s="294"/>
    </row>
    <row r="57" spans="1:10">
      <c r="D57" s="10" t="s">
        <v>285</v>
      </c>
      <c r="E57" s="5"/>
      <c r="F57" s="38" t="s">
        <v>4116</v>
      </c>
    </row>
    <row r="58" spans="1:10">
      <c r="D58" s="4">
        <v>2016</v>
      </c>
      <c r="F58" s="6" t="s">
        <v>286</v>
      </c>
    </row>
    <row r="59" spans="1:10">
      <c r="A59" s="282" t="s">
        <v>6020</v>
      </c>
      <c r="D59" s="285">
        <f>SUM(D60:D62)+SUM(D63:D68)+SUM(D69:D77)+D78+D79</f>
        <v>90162</v>
      </c>
    </row>
    <row r="60" spans="1:10">
      <c r="A60" s="282" t="s">
        <v>812</v>
      </c>
      <c r="B60" s="282" t="s">
        <v>6057</v>
      </c>
      <c r="C60" s="292" t="s">
        <v>6058</v>
      </c>
      <c r="D60" s="293">
        <v>4288</v>
      </c>
      <c r="F60" s="282" t="s">
        <v>6032</v>
      </c>
      <c r="H60" s="292"/>
      <c r="J60" s="292"/>
    </row>
    <row r="61" spans="1:10">
      <c r="A61" s="282" t="s">
        <v>813</v>
      </c>
      <c r="B61" s="282" t="s">
        <v>6059</v>
      </c>
      <c r="C61" s="292" t="s">
        <v>6060</v>
      </c>
      <c r="D61" s="293">
        <v>3988</v>
      </c>
      <c r="F61" s="282" t="s">
        <v>6032</v>
      </c>
      <c r="H61" s="292"/>
      <c r="J61" s="292"/>
    </row>
    <row r="62" spans="1:10">
      <c r="A62" s="282" t="s">
        <v>814</v>
      </c>
      <c r="B62" s="282" t="s">
        <v>6061</v>
      </c>
      <c r="C62" s="292" t="s">
        <v>6062</v>
      </c>
      <c r="D62" s="293">
        <v>5879</v>
      </c>
      <c r="F62" s="282" t="s">
        <v>6028</v>
      </c>
      <c r="H62" s="292"/>
      <c r="J62" s="292"/>
    </row>
    <row r="63" spans="1:10">
      <c r="A63" s="282" t="s">
        <v>815</v>
      </c>
      <c r="B63" s="282" t="s">
        <v>6063</v>
      </c>
      <c r="C63" s="292" t="s">
        <v>6064</v>
      </c>
      <c r="D63" s="293">
        <v>5418</v>
      </c>
      <c r="F63" s="282" t="s">
        <v>6028</v>
      </c>
      <c r="H63" s="292"/>
      <c r="J63" s="292"/>
    </row>
    <row r="64" spans="1:10">
      <c r="A64" s="282" t="s">
        <v>816</v>
      </c>
      <c r="B64" s="282" t="s">
        <v>888</v>
      </c>
      <c r="C64" s="292" t="s">
        <v>6065</v>
      </c>
      <c r="D64" s="293">
        <v>4953</v>
      </c>
      <c r="F64" s="282" t="s">
        <v>6032</v>
      </c>
      <c r="H64" s="292"/>
      <c r="J64" s="292"/>
    </row>
    <row r="65" spans="1:10">
      <c r="A65" s="282" t="s">
        <v>826</v>
      </c>
      <c r="B65" s="282" t="s">
        <v>6066</v>
      </c>
      <c r="C65" s="292" t="s">
        <v>6067</v>
      </c>
      <c r="D65" s="295">
        <v>6366</v>
      </c>
      <c r="F65" s="282" t="s">
        <v>6031</v>
      </c>
      <c r="H65" s="292"/>
      <c r="J65" s="292"/>
    </row>
    <row r="66" spans="1:10">
      <c r="A66" s="282" t="s">
        <v>827</v>
      </c>
      <c r="B66" s="282" t="s">
        <v>6068</v>
      </c>
      <c r="C66" s="292" t="s">
        <v>6069</v>
      </c>
      <c r="D66" s="295">
        <v>4386</v>
      </c>
      <c r="F66" s="282" t="s">
        <v>6032</v>
      </c>
      <c r="H66" s="292"/>
      <c r="J66" s="292"/>
    </row>
    <row r="67" spans="1:10">
      <c r="A67" s="282" t="s">
        <v>828</v>
      </c>
      <c r="B67" s="282" t="s">
        <v>6070</v>
      </c>
      <c r="C67" s="292" t="s">
        <v>6071</v>
      </c>
      <c r="D67" s="293">
        <v>4413</v>
      </c>
      <c r="F67" s="282" t="s">
        <v>6032</v>
      </c>
      <c r="H67" s="292"/>
      <c r="J67" s="292"/>
    </row>
    <row r="68" spans="1:10">
      <c r="A68" s="282" t="s">
        <v>829</v>
      </c>
      <c r="B68" s="282" t="s">
        <v>6072</v>
      </c>
      <c r="C68" s="292" t="s">
        <v>6073</v>
      </c>
      <c r="D68" s="293">
        <v>3860</v>
      </c>
      <c r="F68" s="282" t="s">
        <v>6028</v>
      </c>
      <c r="H68" s="292"/>
      <c r="J68" s="292"/>
    </row>
    <row r="69" spans="1:10">
      <c r="A69" s="282" t="s">
        <v>830</v>
      </c>
      <c r="B69" s="282" t="s">
        <v>6074</v>
      </c>
      <c r="C69" s="292" t="s">
        <v>6075</v>
      </c>
      <c r="D69" s="293">
        <v>4266</v>
      </c>
      <c r="F69" s="282" t="s">
        <v>6032</v>
      </c>
      <c r="H69" s="292"/>
      <c r="J69" s="292"/>
    </row>
    <row r="70" spans="1:10">
      <c r="A70" s="282" t="s">
        <v>831</v>
      </c>
      <c r="B70" s="282" t="s">
        <v>6076</v>
      </c>
      <c r="C70" s="292" t="s">
        <v>6077</v>
      </c>
      <c r="D70" s="293">
        <v>6171</v>
      </c>
      <c r="F70" s="282" t="s">
        <v>6028</v>
      </c>
      <c r="H70" s="292"/>
      <c r="J70" s="292"/>
    </row>
    <row r="71" spans="1:10">
      <c r="A71" s="282" t="s">
        <v>832</v>
      </c>
      <c r="B71" s="282" t="s">
        <v>6078</v>
      </c>
      <c r="C71" s="292" t="s">
        <v>6079</v>
      </c>
      <c r="D71" s="295">
        <v>4066</v>
      </c>
      <c r="F71" s="282" t="s">
        <v>6031</v>
      </c>
      <c r="H71" s="292"/>
      <c r="J71" s="292"/>
    </row>
    <row r="72" spans="1:10">
      <c r="A72" s="282" t="s">
        <v>833</v>
      </c>
      <c r="B72" s="282" t="s">
        <v>6080</v>
      </c>
      <c r="C72" s="292" t="s">
        <v>6081</v>
      </c>
      <c r="D72" s="295">
        <v>4210</v>
      </c>
      <c r="F72" s="282" t="s">
        <v>6031</v>
      </c>
      <c r="H72" s="292"/>
      <c r="J72" s="292"/>
    </row>
    <row r="73" spans="1:10">
      <c r="A73" s="282" t="s">
        <v>834</v>
      </c>
      <c r="B73" s="282" t="s">
        <v>474</v>
      </c>
      <c r="C73" s="292" t="s">
        <v>6082</v>
      </c>
      <c r="D73" s="293">
        <v>5012</v>
      </c>
      <c r="F73" s="282" t="s">
        <v>6032</v>
      </c>
      <c r="H73" s="292"/>
      <c r="J73" s="292"/>
    </row>
    <row r="74" spans="1:10">
      <c r="A74" s="282" t="s">
        <v>835</v>
      </c>
      <c r="B74" s="282" t="s">
        <v>6083</v>
      </c>
      <c r="C74" s="292" t="s">
        <v>6084</v>
      </c>
      <c r="D74" s="293">
        <v>1570</v>
      </c>
      <c r="F74" s="282" t="s">
        <v>6028</v>
      </c>
      <c r="H74" s="292"/>
      <c r="J74" s="292"/>
    </row>
    <row r="75" spans="1:10">
      <c r="A75" s="282" t="s">
        <v>836</v>
      </c>
      <c r="B75" s="282" t="s">
        <v>6085</v>
      </c>
      <c r="C75" s="292" t="s">
        <v>6086</v>
      </c>
      <c r="D75" s="295">
        <v>3891</v>
      </c>
      <c r="F75" s="282" t="s">
        <v>6031</v>
      </c>
      <c r="H75" s="292"/>
      <c r="J75" s="292"/>
    </row>
    <row r="76" spans="1:10">
      <c r="A76" s="282" t="s">
        <v>837</v>
      </c>
      <c r="B76" s="282" t="s">
        <v>303</v>
      </c>
      <c r="C76" s="292" t="s">
        <v>6087</v>
      </c>
      <c r="D76" s="293">
        <v>6383</v>
      </c>
      <c r="F76" s="282" t="s">
        <v>6028</v>
      </c>
      <c r="H76" s="292"/>
      <c r="J76" s="292"/>
    </row>
    <row r="77" spans="1:10">
      <c r="A77" s="282" t="s">
        <v>838</v>
      </c>
      <c r="B77" s="282" t="s">
        <v>6088</v>
      </c>
      <c r="C77" s="292" t="s">
        <v>6089</v>
      </c>
      <c r="D77" s="293">
        <v>5625</v>
      </c>
      <c r="F77" s="282" t="s">
        <v>6031</v>
      </c>
      <c r="H77" s="292"/>
      <c r="J77" s="292"/>
    </row>
    <row r="78" spans="1:10">
      <c r="A78" s="282" t="s">
        <v>840</v>
      </c>
      <c r="B78" s="282" t="s">
        <v>6090</v>
      </c>
      <c r="C78" s="292" t="s">
        <v>6091</v>
      </c>
      <c r="D78" s="295">
        <v>1844</v>
      </c>
      <c r="F78" s="282" t="s">
        <v>6032</v>
      </c>
      <c r="H78" s="292"/>
      <c r="J78" s="292"/>
    </row>
    <row r="79" spans="1:10">
      <c r="A79" s="282" t="s">
        <v>841</v>
      </c>
      <c r="B79" s="282" t="s">
        <v>6092</v>
      </c>
      <c r="C79" s="292" t="s">
        <v>6093</v>
      </c>
      <c r="D79" s="293">
        <v>3573</v>
      </c>
      <c r="F79" s="282" t="s">
        <v>6032</v>
      </c>
      <c r="H79" s="292"/>
      <c r="J79" s="292"/>
    </row>
    <row r="80" spans="1:10">
      <c r="D80" s="284"/>
    </row>
    <row r="81" spans="1:10">
      <c r="A81" s="282" t="s">
        <v>6094</v>
      </c>
      <c r="D81" s="284">
        <f>D62+D63+D68+D70+D74+D76</f>
        <v>29281</v>
      </c>
    </row>
    <row r="82" spans="1:10">
      <c r="A82" s="282" t="s">
        <v>6095</v>
      </c>
      <c r="D82" s="285">
        <f>D65+D71+D72+D75+D77</f>
        <v>24158</v>
      </c>
    </row>
    <row r="83" spans="1:10">
      <c r="A83" s="282" t="s">
        <v>6096</v>
      </c>
      <c r="D83" s="285">
        <f>D60+D61+D64+D66+D67+D69+D73+D78+D79</f>
        <v>36723</v>
      </c>
    </row>
    <row r="84" spans="1:10">
      <c r="A84" s="282"/>
      <c r="B84" s="282"/>
      <c r="D84" s="294"/>
    </row>
    <row r="85" spans="1:10">
      <c r="A85" s="282" t="s">
        <v>6097</v>
      </c>
      <c r="B85" s="282"/>
      <c r="D85" s="294"/>
    </row>
    <row r="86" spans="1:10">
      <c r="A86" s="282"/>
      <c r="B86" s="282"/>
      <c r="D86" s="294"/>
    </row>
    <row r="87" spans="1:10">
      <c r="A87" s="282"/>
      <c r="B87" s="282"/>
      <c r="D87" s="294"/>
    </row>
    <row r="88" spans="1:10">
      <c r="D88" s="10" t="s">
        <v>285</v>
      </c>
      <c r="E88" s="5"/>
      <c r="F88" s="38" t="s">
        <v>4116</v>
      </c>
    </row>
    <row r="89" spans="1:10">
      <c r="D89" s="4">
        <v>2016</v>
      </c>
      <c r="F89" s="6" t="s">
        <v>286</v>
      </c>
    </row>
    <row r="90" spans="1:10">
      <c r="A90" s="282" t="s">
        <v>6021</v>
      </c>
      <c r="D90" s="285">
        <f t="shared" ref="D90" si="3">SUM(D91:D112)</f>
        <v>100365</v>
      </c>
    </row>
    <row r="91" spans="1:10">
      <c r="A91" s="282" t="s">
        <v>812</v>
      </c>
      <c r="B91" s="282" t="s">
        <v>6098</v>
      </c>
      <c r="C91" s="292" t="s">
        <v>6099</v>
      </c>
      <c r="D91" s="293">
        <v>5151</v>
      </c>
      <c r="F91" s="282" t="s">
        <v>6031</v>
      </c>
      <c r="H91" s="292"/>
      <c r="J91" s="292"/>
    </row>
    <row r="92" spans="1:10">
      <c r="A92" s="282" t="s">
        <v>813</v>
      </c>
      <c r="B92" s="282" t="s">
        <v>6100</v>
      </c>
      <c r="C92" s="292" t="s">
        <v>6101</v>
      </c>
      <c r="D92" s="293">
        <v>3598</v>
      </c>
      <c r="F92" s="282" t="s">
        <v>6028</v>
      </c>
      <c r="H92" s="292"/>
      <c r="J92" s="292"/>
    </row>
    <row r="93" spans="1:10">
      <c r="A93" s="282" t="s">
        <v>814</v>
      </c>
      <c r="B93" s="282" t="s">
        <v>6102</v>
      </c>
      <c r="C93" s="292" t="s">
        <v>6103</v>
      </c>
      <c r="D93" s="293">
        <v>4951</v>
      </c>
      <c r="F93" s="282" t="s">
        <v>6028</v>
      </c>
      <c r="H93" s="292"/>
      <c r="J93" s="292"/>
    </row>
    <row r="94" spans="1:10">
      <c r="A94" s="282" t="s">
        <v>815</v>
      </c>
      <c r="B94" s="282" t="s">
        <v>6104</v>
      </c>
      <c r="C94" s="292" t="s">
        <v>6105</v>
      </c>
      <c r="D94" s="293">
        <v>4928</v>
      </c>
      <c r="F94" s="282" t="s">
        <v>6031</v>
      </c>
      <c r="H94" s="292"/>
      <c r="J94" s="292"/>
    </row>
    <row r="95" spans="1:10">
      <c r="A95" s="282" t="s">
        <v>816</v>
      </c>
      <c r="B95" s="282" t="s">
        <v>6106</v>
      </c>
      <c r="C95" s="292" t="s">
        <v>6107</v>
      </c>
      <c r="D95" s="293">
        <v>2879</v>
      </c>
      <c r="F95" s="282" t="s">
        <v>6028</v>
      </c>
      <c r="H95" s="292"/>
      <c r="J95" s="292"/>
    </row>
    <row r="96" spans="1:10">
      <c r="A96" s="282" t="s">
        <v>826</v>
      </c>
      <c r="B96" s="282" t="s">
        <v>6108</v>
      </c>
      <c r="C96" s="292" t="s">
        <v>6109</v>
      </c>
      <c r="D96" s="293">
        <v>5512</v>
      </c>
      <c r="F96" s="282" t="s">
        <v>6031</v>
      </c>
      <c r="H96" s="292"/>
      <c r="J96" s="292"/>
    </row>
    <row r="97" spans="1:10">
      <c r="A97" s="282" t="s">
        <v>827</v>
      </c>
      <c r="B97" s="282" t="s">
        <v>6110</v>
      </c>
      <c r="C97" s="292" t="s">
        <v>6111</v>
      </c>
      <c r="D97" s="293">
        <v>5841</v>
      </c>
      <c r="F97" s="282" t="s">
        <v>6031</v>
      </c>
      <c r="H97" s="292"/>
      <c r="J97" s="292"/>
    </row>
    <row r="98" spans="1:10">
      <c r="A98" s="282" t="s">
        <v>828</v>
      </c>
      <c r="B98" s="282" t="s">
        <v>6112</v>
      </c>
      <c r="C98" s="292" t="s">
        <v>6113</v>
      </c>
      <c r="D98" s="293">
        <v>5397</v>
      </c>
      <c r="F98" s="282" t="s">
        <v>6028</v>
      </c>
      <c r="H98" s="292"/>
      <c r="J98" s="292"/>
    </row>
    <row r="99" spans="1:10">
      <c r="A99" s="282" t="s">
        <v>829</v>
      </c>
      <c r="B99" s="282" t="s">
        <v>6114</v>
      </c>
      <c r="C99" s="292" t="s">
        <v>6115</v>
      </c>
      <c r="D99" s="293">
        <v>1509</v>
      </c>
      <c r="F99" s="282" t="s">
        <v>6031</v>
      </c>
      <c r="H99" s="292"/>
      <c r="J99" s="292"/>
    </row>
    <row r="100" spans="1:10">
      <c r="A100" s="282" t="s">
        <v>830</v>
      </c>
      <c r="B100" s="282" t="s">
        <v>6116</v>
      </c>
      <c r="C100" s="292" t="s">
        <v>6117</v>
      </c>
      <c r="D100" s="293">
        <v>4586</v>
      </c>
      <c r="F100" s="282" t="s">
        <v>6031</v>
      </c>
      <c r="H100" s="292"/>
      <c r="J100" s="292"/>
    </row>
    <row r="101" spans="1:10">
      <c r="A101" s="282" t="s">
        <v>831</v>
      </c>
      <c r="B101" s="282" t="s">
        <v>6118</v>
      </c>
      <c r="C101" s="292" t="s">
        <v>6119</v>
      </c>
      <c r="D101" s="293">
        <v>5355</v>
      </c>
      <c r="F101" s="282" t="s">
        <v>6028</v>
      </c>
      <c r="H101" s="292"/>
      <c r="J101" s="292"/>
    </row>
    <row r="102" spans="1:10">
      <c r="A102" s="282" t="s">
        <v>832</v>
      </c>
      <c r="B102" s="282" t="s">
        <v>6120</v>
      </c>
      <c r="C102" s="292" t="s">
        <v>6121</v>
      </c>
      <c r="D102" s="293">
        <v>3124</v>
      </c>
      <c r="F102" s="282" t="s">
        <v>6028</v>
      </c>
      <c r="H102" s="292"/>
      <c r="J102" s="292"/>
    </row>
    <row r="103" spans="1:10">
      <c r="A103" s="282" t="s">
        <v>833</v>
      </c>
      <c r="B103" s="282" t="s">
        <v>6122</v>
      </c>
      <c r="C103" s="292" t="s">
        <v>6123</v>
      </c>
      <c r="D103" s="295">
        <v>5589</v>
      </c>
      <c r="F103" s="282" t="s">
        <v>6031</v>
      </c>
      <c r="H103" s="292"/>
      <c r="J103" s="292"/>
    </row>
    <row r="104" spans="1:10">
      <c r="A104" s="282" t="s">
        <v>834</v>
      </c>
      <c r="B104" s="282" t="s">
        <v>6124</v>
      </c>
      <c r="C104" s="292" t="s">
        <v>6125</v>
      </c>
      <c r="D104" s="295">
        <v>4575</v>
      </c>
      <c r="F104" s="282" t="s">
        <v>6031</v>
      </c>
      <c r="G104" s="293"/>
      <c r="H104" s="292"/>
      <c r="J104" s="292"/>
    </row>
    <row r="105" spans="1:10">
      <c r="A105" s="282" t="s">
        <v>835</v>
      </c>
      <c r="B105" s="282" t="s">
        <v>6126</v>
      </c>
      <c r="C105" s="292" t="s">
        <v>6127</v>
      </c>
      <c r="D105" s="295">
        <v>4835</v>
      </c>
      <c r="F105" s="282" t="s">
        <v>6028</v>
      </c>
      <c r="H105" s="292"/>
      <c r="J105" s="292"/>
    </row>
    <row r="106" spans="1:10">
      <c r="A106" s="282" t="s">
        <v>836</v>
      </c>
      <c r="B106" s="282" t="s">
        <v>6128</v>
      </c>
      <c r="C106" s="292" t="s">
        <v>6129</v>
      </c>
      <c r="D106" s="293">
        <v>4664</v>
      </c>
      <c r="F106" s="282" t="s">
        <v>6031</v>
      </c>
      <c r="G106" s="295"/>
      <c r="H106" s="292"/>
      <c r="J106" s="292"/>
    </row>
    <row r="107" spans="1:10">
      <c r="A107" s="282" t="s">
        <v>837</v>
      </c>
      <c r="B107" s="282" t="s">
        <v>6130</v>
      </c>
      <c r="C107" s="292" t="s">
        <v>6131</v>
      </c>
      <c r="D107" s="293">
        <v>5641</v>
      </c>
      <c r="F107" s="282" t="s">
        <v>6031</v>
      </c>
      <c r="G107" s="295"/>
      <c r="H107" s="292"/>
      <c r="J107" s="292"/>
    </row>
    <row r="108" spans="1:10">
      <c r="A108" s="282" t="s">
        <v>838</v>
      </c>
      <c r="B108" s="282" t="s">
        <v>6132</v>
      </c>
      <c r="C108" s="292" t="s">
        <v>6133</v>
      </c>
      <c r="D108" s="295">
        <v>4604</v>
      </c>
      <c r="F108" s="282" t="s">
        <v>6028</v>
      </c>
      <c r="G108" s="295"/>
      <c r="H108" s="292"/>
      <c r="J108" s="292"/>
    </row>
    <row r="109" spans="1:10">
      <c r="A109" s="282" t="s">
        <v>840</v>
      </c>
      <c r="B109" s="282" t="s">
        <v>6134</v>
      </c>
      <c r="C109" s="292" t="s">
        <v>6135</v>
      </c>
      <c r="D109" s="295">
        <v>4839</v>
      </c>
      <c r="F109" s="282" t="s">
        <v>6028</v>
      </c>
      <c r="H109" s="292"/>
      <c r="J109" s="292"/>
    </row>
    <row r="110" spans="1:10">
      <c r="A110" s="282" t="s">
        <v>841</v>
      </c>
      <c r="B110" s="282" t="s">
        <v>6136</v>
      </c>
      <c r="C110" s="292" t="s">
        <v>6137</v>
      </c>
      <c r="D110" s="295">
        <v>5943</v>
      </c>
      <c r="F110" s="282" t="s">
        <v>6028</v>
      </c>
      <c r="H110" s="292"/>
      <c r="J110" s="292"/>
    </row>
    <row r="111" spans="1:10">
      <c r="A111" s="282" t="s">
        <v>878</v>
      </c>
      <c r="B111" s="282" t="s">
        <v>6138</v>
      </c>
      <c r="C111" s="292" t="s">
        <v>6139</v>
      </c>
      <c r="D111" s="293">
        <v>3436</v>
      </c>
      <c r="F111" s="282" t="s">
        <v>6031</v>
      </c>
      <c r="H111" s="292"/>
      <c r="J111" s="292"/>
    </row>
    <row r="112" spans="1:10">
      <c r="A112" s="282" t="s">
        <v>879</v>
      </c>
      <c r="B112" s="282" t="s">
        <v>6140</v>
      </c>
      <c r="C112" s="292" t="s">
        <v>6141</v>
      </c>
      <c r="D112" s="295">
        <v>3408</v>
      </c>
      <c r="F112" s="282" t="s">
        <v>6028</v>
      </c>
      <c r="H112" s="292"/>
      <c r="J112" s="292"/>
    </row>
    <row r="113" spans="1:10">
      <c r="A113" s="282"/>
      <c r="B113" s="282"/>
      <c r="C113" s="292"/>
      <c r="D113" s="295"/>
      <c r="F113" s="282"/>
      <c r="H113" s="292"/>
      <c r="J113" s="292"/>
    </row>
    <row r="114" spans="1:10">
      <c r="A114" s="282" t="s">
        <v>6094</v>
      </c>
      <c r="D114" s="285">
        <f>D92+D93+D95+D98+D101+D102+D105+SUM(D108:D110)+D112</f>
        <v>48933</v>
      </c>
    </row>
    <row r="115" spans="1:10">
      <c r="A115" s="282" t="s">
        <v>6142</v>
      </c>
      <c r="D115" s="285">
        <f>D91+D94+D96+D97+D99+D100+D103+D104+D106+D107+D111</f>
        <v>51432</v>
      </c>
    </row>
    <row r="117" spans="1:10">
      <c r="A117" s="282" t="s">
        <v>6143</v>
      </c>
    </row>
    <row r="118" spans="1:10">
      <c r="A118" s="282"/>
    </row>
    <row r="119" spans="1:10">
      <c r="A119" s="282"/>
    </row>
    <row r="120" spans="1:10">
      <c r="D120" s="10" t="s">
        <v>285</v>
      </c>
      <c r="E120" s="5"/>
      <c r="F120" s="38" t="s">
        <v>4116</v>
      </c>
    </row>
    <row r="121" spans="1:10">
      <c r="D121" s="4">
        <v>2016</v>
      </c>
      <c r="F121" s="6" t="s">
        <v>286</v>
      </c>
    </row>
    <row r="122" spans="1:10">
      <c r="A122" s="282" t="s">
        <v>6022</v>
      </c>
      <c r="D122" s="286">
        <f>SUM(D123:D148)</f>
        <v>137838</v>
      </c>
    </row>
    <row r="123" spans="1:10">
      <c r="A123" s="282" t="s">
        <v>812</v>
      </c>
      <c r="B123" s="282" t="s">
        <v>6144</v>
      </c>
      <c r="C123" s="292" t="s">
        <v>6145</v>
      </c>
      <c r="D123" s="293">
        <v>5136</v>
      </c>
      <c r="F123" s="282" t="s">
        <v>6026</v>
      </c>
    </row>
    <row r="124" spans="1:10">
      <c r="A124" s="282" t="s">
        <v>813</v>
      </c>
      <c r="B124" s="282" t="s">
        <v>6146</v>
      </c>
      <c r="C124" s="292" t="s">
        <v>6147</v>
      </c>
      <c r="D124" s="293">
        <v>4935</v>
      </c>
      <c r="F124" s="282" t="s">
        <v>6026</v>
      </c>
    </row>
    <row r="125" spans="1:10">
      <c r="A125" s="282" t="s">
        <v>814</v>
      </c>
      <c r="B125" s="282" t="s">
        <v>6148</v>
      </c>
      <c r="C125" s="292" t="s">
        <v>6149</v>
      </c>
      <c r="D125" s="293">
        <v>6943</v>
      </c>
      <c r="F125" s="282" t="s">
        <v>6026</v>
      </c>
    </row>
    <row r="126" spans="1:10">
      <c r="A126" s="282" t="s">
        <v>815</v>
      </c>
      <c r="B126" s="282" t="s">
        <v>6150</v>
      </c>
      <c r="C126" s="292" t="s">
        <v>6151</v>
      </c>
      <c r="D126" s="293">
        <v>4671</v>
      </c>
      <c r="F126" s="282" t="s">
        <v>6026</v>
      </c>
    </row>
    <row r="127" spans="1:10">
      <c r="A127" s="282" t="s">
        <v>816</v>
      </c>
      <c r="B127" s="282" t="s">
        <v>6152</v>
      </c>
      <c r="C127" s="292" t="s">
        <v>6153</v>
      </c>
      <c r="D127" s="293">
        <v>4521</v>
      </c>
      <c r="F127" s="282" t="s">
        <v>6033</v>
      </c>
    </row>
    <row r="128" spans="1:10">
      <c r="A128" s="282" t="s">
        <v>826</v>
      </c>
      <c r="B128" s="282" t="s">
        <v>6154</v>
      </c>
      <c r="C128" s="292" t="s">
        <v>6155</v>
      </c>
      <c r="D128" s="293">
        <v>5023</v>
      </c>
      <c r="F128" s="282" t="s">
        <v>6033</v>
      </c>
    </row>
    <row r="129" spans="1:6">
      <c r="A129" s="282" t="s">
        <v>827</v>
      </c>
      <c r="B129" s="282" t="s">
        <v>6156</v>
      </c>
      <c r="C129" s="292" t="s">
        <v>6157</v>
      </c>
      <c r="D129" s="295">
        <v>7912</v>
      </c>
      <c r="F129" s="282" t="s">
        <v>6033</v>
      </c>
    </row>
    <row r="130" spans="1:6">
      <c r="A130" s="282" t="s">
        <v>828</v>
      </c>
      <c r="B130" s="282" t="s">
        <v>6158</v>
      </c>
      <c r="C130" s="292" t="s">
        <v>6159</v>
      </c>
      <c r="D130" s="295">
        <v>4535</v>
      </c>
      <c r="F130" s="282" t="s">
        <v>6033</v>
      </c>
    </row>
    <row r="131" spans="1:6">
      <c r="A131" s="282" t="s">
        <v>829</v>
      </c>
      <c r="B131" s="282" t="s">
        <v>6160</v>
      </c>
      <c r="C131" s="292" t="s">
        <v>6161</v>
      </c>
      <c r="D131" s="295">
        <v>5133</v>
      </c>
      <c r="F131" s="282" t="s">
        <v>6033</v>
      </c>
    </row>
    <row r="132" spans="1:6">
      <c r="A132" s="282" t="s">
        <v>830</v>
      </c>
      <c r="B132" s="282" t="s">
        <v>6162</v>
      </c>
      <c r="C132" s="292" t="s">
        <v>6163</v>
      </c>
      <c r="D132" s="293">
        <v>4813</v>
      </c>
      <c r="F132" s="282" t="s">
        <v>6033</v>
      </c>
    </row>
    <row r="133" spans="1:6">
      <c r="A133" s="282" t="s">
        <v>831</v>
      </c>
      <c r="B133" s="282" t="s">
        <v>6164</v>
      </c>
      <c r="C133" s="292" t="s">
        <v>6165</v>
      </c>
      <c r="D133" s="295">
        <v>5256</v>
      </c>
      <c r="F133" s="282" t="s">
        <v>6033</v>
      </c>
    </row>
    <row r="134" spans="1:6">
      <c r="A134" s="282" t="s">
        <v>832</v>
      </c>
      <c r="B134" s="282" t="s">
        <v>6166</v>
      </c>
      <c r="C134" s="292" t="s">
        <v>6167</v>
      </c>
      <c r="D134" s="295">
        <v>7467</v>
      </c>
      <c r="F134" s="282" t="s">
        <v>6032</v>
      </c>
    </row>
    <row r="135" spans="1:6">
      <c r="A135" s="282" t="s">
        <v>833</v>
      </c>
      <c r="B135" s="282" t="s">
        <v>6168</v>
      </c>
      <c r="C135" s="292" t="s">
        <v>6169</v>
      </c>
      <c r="D135" s="295">
        <v>8184</v>
      </c>
      <c r="F135" s="282" t="s">
        <v>6032</v>
      </c>
    </row>
    <row r="136" spans="1:6">
      <c r="A136" s="282" t="s">
        <v>834</v>
      </c>
      <c r="B136" s="282" t="s">
        <v>6170</v>
      </c>
      <c r="C136" s="292" t="s">
        <v>6171</v>
      </c>
      <c r="D136" s="295">
        <v>7267</v>
      </c>
      <c r="F136" s="282" t="s">
        <v>6032</v>
      </c>
    </row>
    <row r="137" spans="1:6">
      <c r="A137" s="282" t="s">
        <v>835</v>
      </c>
      <c r="B137" s="282" t="s">
        <v>1004</v>
      </c>
      <c r="C137" s="292" t="s">
        <v>6172</v>
      </c>
      <c r="D137" s="293">
        <v>4771</v>
      </c>
      <c r="F137" s="282" t="s">
        <v>6033</v>
      </c>
    </row>
    <row r="138" spans="1:6">
      <c r="A138" s="282" t="s">
        <v>836</v>
      </c>
      <c r="B138" s="282" t="s">
        <v>6173</v>
      </c>
      <c r="C138" s="292" t="s">
        <v>6174</v>
      </c>
      <c r="D138" s="293">
        <v>2954</v>
      </c>
      <c r="F138" s="282" t="s">
        <v>6033</v>
      </c>
    </row>
    <row r="139" spans="1:6">
      <c r="A139" s="282" t="s">
        <v>837</v>
      </c>
      <c r="B139" s="282" t="s">
        <v>6175</v>
      </c>
      <c r="C139" s="292" t="s">
        <v>6176</v>
      </c>
      <c r="D139" s="293">
        <v>4767</v>
      </c>
      <c r="F139" s="282" t="s">
        <v>6033</v>
      </c>
    </row>
    <row r="140" spans="1:6">
      <c r="A140" s="282" t="s">
        <v>838</v>
      </c>
      <c r="B140" s="282" t="s">
        <v>6177</v>
      </c>
      <c r="C140" s="292" t="s">
        <v>6178</v>
      </c>
      <c r="D140" s="293">
        <v>4517</v>
      </c>
      <c r="F140" s="282" t="s">
        <v>6032</v>
      </c>
    </row>
    <row r="141" spans="1:6">
      <c r="A141" s="282" t="s">
        <v>840</v>
      </c>
      <c r="B141" s="282" t="s">
        <v>6179</v>
      </c>
      <c r="C141" s="292" t="s">
        <v>6180</v>
      </c>
      <c r="D141" s="293">
        <v>5062</v>
      </c>
      <c r="F141" s="282" t="s">
        <v>6033</v>
      </c>
    </row>
    <row r="142" spans="1:6">
      <c r="A142" s="282" t="s">
        <v>841</v>
      </c>
      <c r="B142" s="282" t="s">
        <v>6181</v>
      </c>
      <c r="C142" s="292" t="s">
        <v>6182</v>
      </c>
      <c r="D142" s="295">
        <v>5117</v>
      </c>
      <c r="F142" s="282" t="s">
        <v>6033</v>
      </c>
    </row>
    <row r="143" spans="1:6">
      <c r="A143" s="282" t="s">
        <v>878</v>
      </c>
      <c r="B143" s="282" t="s">
        <v>6183</v>
      </c>
      <c r="C143" s="292" t="s">
        <v>6184</v>
      </c>
      <c r="D143" s="293">
        <v>4922</v>
      </c>
      <c r="F143" s="282" t="s">
        <v>6033</v>
      </c>
    </row>
    <row r="144" spans="1:6">
      <c r="A144" s="282" t="s">
        <v>879</v>
      </c>
      <c r="B144" s="282" t="s">
        <v>6185</v>
      </c>
      <c r="C144" s="292" t="s">
        <v>6186</v>
      </c>
      <c r="D144" s="295">
        <v>4740</v>
      </c>
      <c r="F144" s="282" t="s">
        <v>6032</v>
      </c>
    </row>
    <row r="145" spans="1:6">
      <c r="A145" s="282" t="s">
        <v>880</v>
      </c>
      <c r="B145" s="282" t="s">
        <v>6187</v>
      </c>
      <c r="C145" s="292" t="s">
        <v>6188</v>
      </c>
      <c r="D145" s="293">
        <v>3971</v>
      </c>
      <c r="F145" s="282" t="s">
        <v>6032</v>
      </c>
    </row>
    <row r="146" spans="1:6">
      <c r="A146" s="282" t="s">
        <v>721</v>
      </c>
      <c r="B146" s="282" t="s">
        <v>6189</v>
      </c>
      <c r="C146" s="292" t="s">
        <v>6190</v>
      </c>
      <c r="D146" s="295">
        <v>5202</v>
      </c>
      <c r="F146" s="282" t="s">
        <v>6032</v>
      </c>
    </row>
    <row r="147" spans="1:6">
      <c r="A147" s="282" t="s">
        <v>722</v>
      </c>
      <c r="B147" s="282" t="s">
        <v>6191</v>
      </c>
      <c r="C147" s="292" t="s">
        <v>6192</v>
      </c>
      <c r="D147" s="293">
        <v>2634</v>
      </c>
      <c r="F147" s="282" t="s">
        <v>6033</v>
      </c>
    </row>
    <row r="148" spans="1:6">
      <c r="A148" s="282" t="s">
        <v>723</v>
      </c>
      <c r="B148" s="282" t="s">
        <v>6193</v>
      </c>
      <c r="C148" s="292" t="s">
        <v>6194</v>
      </c>
      <c r="D148" s="295">
        <v>7385</v>
      </c>
      <c r="F148" s="282" t="s">
        <v>6033</v>
      </c>
    </row>
    <row r="149" spans="1:6">
      <c r="A149" s="282"/>
      <c r="B149" s="282"/>
      <c r="C149" s="292"/>
      <c r="D149" s="295"/>
      <c r="F149" s="282"/>
    </row>
    <row r="150" spans="1:6">
      <c r="A150" s="282" t="s">
        <v>6195</v>
      </c>
      <c r="B150" s="282"/>
      <c r="C150" s="292"/>
      <c r="D150" s="295">
        <f>SUM(D123:D126)</f>
        <v>21685</v>
      </c>
      <c r="F150" s="282"/>
    </row>
    <row r="151" spans="1:6">
      <c r="A151" s="282" t="s">
        <v>6096</v>
      </c>
      <c r="D151" s="285">
        <f>SUM(D134:D136)+D140+SUM(D144:D146)</f>
        <v>41348</v>
      </c>
    </row>
    <row r="152" spans="1:6">
      <c r="A152" s="282" t="s">
        <v>6033</v>
      </c>
      <c r="D152" s="285">
        <f>SUM(D127:D133)+SUM(D137:D139)+SUM(D141:D143)+D147+D148</f>
        <v>74805</v>
      </c>
    </row>
    <row r="153" spans="1:6">
      <c r="A153" s="282"/>
      <c r="D153" s="285"/>
    </row>
    <row r="154" spans="1:6">
      <c r="A154" s="282" t="s">
        <v>6196</v>
      </c>
    </row>
  </sheetData>
  <printOptions gridLinesSet="0"/>
  <pageMargins left="0.78740157480314965" right="0" top="0.51181102362204722" bottom="0.51181102362204722" header="0.51181102362204722" footer="0.51181102362204722"/>
  <pageSetup paperSize="9" scale="63" orientation="portrait" horizontalDpi="300" verticalDpi="300" r:id="rId1"/>
  <headerFooter alignWithMargins="0">
    <oddFooter>&amp;C&amp;"Times New Roman,Regular"&amp;8&amp;P of &amp;N</oddFooter>
  </headerFooter>
  <rowBreaks count="1" manualBreakCount="1">
    <brk id="5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84"/>
  <sheetViews>
    <sheetView showGridLines="0" zoomScaleNormal="100" workbookViewId="0"/>
  </sheetViews>
  <sheetFormatPr defaultColWidth="12.59765625" defaultRowHeight="14.5"/>
  <cols>
    <col min="1" max="1" width="4.8984375" style="24" customWidth="1"/>
    <col min="2" max="2" width="40.8984375" style="24" customWidth="1"/>
    <col min="3" max="3" width="11.3984375" style="24" customWidth="1"/>
    <col min="4" max="4" width="10" style="24" customWidth="1"/>
    <col min="5" max="5" width="2.296875" style="24" customWidth="1"/>
    <col min="6" max="6" width="33" style="24" customWidth="1"/>
    <col min="7" max="16384" width="12.59765625" style="24"/>
  </cols>
  <sheetData>
    <row r="1" spans="1:6">
      <c r="A1" s="23" t="s">
        <v>1075</v>
      </c>
      <c r="D1" s="25">
        <v>2016</v>
      </c>
    </row>
    <row r="3" spans="1:6">
      <c r="A3" s="23" t="s">
        <v>595</v>
      </c>
      <c r="C3" s="23"/>
      <c r="D3" s="26">
        <f>D34</f>
        <v>392223</v>
      </c>
    </row>
    <row r="4" spans="1:6" ht="15" thickBot="1">
      <c r="A4" s="23" t="s">
        <v>53</v>
      </c>
      <c r="C4" s="23"/>
      <c r="D4" s="27">
        <f>D171</f>
        <v>1651</v>
      </c>
      <c r="F4" s="28"/>
    </row>
    <row r="5" spans="1:6" ht="15" thickBot="1">
      <c r="B5" s="23"/>
      <c r="C5" s="23"/>
      <c r="D5" s="29">
        <f>D3+D4</f>
        <v>393874</v>
      </c>
      <c r="F5" s="28"/>
    </row>
    <row r="7" spans="1:6">
      <c r="A7" s="63" t="s">
        <v>2347</v>
      </c>
      <c r="D7" s="30">
        <f>D158</f>
        <v>30431</v>
      </c>
      <c r="F7" s="23" t="s">
        <v>594</v>
      </c>
    </row>
    <row r="8" spans="1:6" ht="15" thickBot="1">
      <c r="A8" s="63"/>
      <c r="D8" s="145">
        <f>DEVON!D18</f>
        <v>41034</v>
      </c>
      <c r="F8" s="63" t="s">
        <v>2346</v>
      </c>
    </row>
    <row r="9" spans="1:6" ht="15" thickBot="1">
      <c r="D9" s="33">
        <f>D7+D8</f>
        <v>71465</v>
      </c>
    </row>
    <row r="11" spans="1:6">
      <c r="A11" s="23" t="s">
        <v>2350</v>
      </c>
      <c r="D11" s="30">
        <f>D159</f>
        <v>72351</v>
      </c>
      <c r="F11" s="23" t="s">
        <v>594</v>
      </c>
    </row>
    <row r="13" spans="1:6">
      <c r="A13" s="23" t="s">
        <v>54</v>
      </c>
      <c r="D13" s="26">
        <f>D160</f>
        <v>72184</v>
      </c>
      <c r="F13" s="23" t="s">
        <v>594</v>
      </c>
    </row>
    <row r="14" spans="1:6">
      <c r="D14" s="30"/>
    </row>
    <row r="15" spans="1:6">
      <c r="A15" s="23" t="s">
        <v>352</v>
      </c>
      <c r="D15" s="26">
        <f>D161</f>
        <v>71138</v>
      </c>
      <c r="F15" s="23" t="s">
        <v>594</v>
      </c>
    </row>
    <row r="16" spans="1:6">
      <c r="D16" s="30"/>
    </row>
    <row r="17" spans="1:6">
      <c r="A17" s="23" t="s">
        <v>353</v>
      </c>
      <c r="D17" s="30">
        <f>D162</f>
        <v>72320</v>
      </c>
      <c r="F17" s="23" t="s">
        <v>594</v>
      </c>
    </row>
    <row r="18" spans="1:6" ht="15" thickBot="1">
      <c r="D18" s="27">
        <f>D178</f>
        <v>1651</v>
      </c>
      <c r="F18" s="23" t="s">
        <v>618</v>
      </c>
    </row>
    <row r="19" spans="1:6" ht="15" thickBot="1">
      <c r="D19" s="27">
        <f>D17+D18</f>
        <v>73971</v>
      </c>
    </row>
    <row r="20" spans="1:6">
      <c r="D20" s="30"/>
    </row>
    <row r="21" spans="1:6">
      <c r="A21" s="23" t="s">
        <v>2351</v>
      </c>
      <c r="D21" s="26">
        <f>D163</f>
        <v>73799</v>
      </c>
      <c r="F21" s="23" t="s">
        <v>594</v>
      </c>
    </row>
    <row r="22" spans="1:6">
      <c r="D22" s="30"/>
    </row>
    <row r="23" spans="1:6">
      <c r="A23" s="23" t="s">
        <v>1041</v>
      </c>
      <c r="D23" s="26">
        <f>D7+D13+D15+D11+D19+D21</f>
        <v>393874</v>
      </c>
    </row>
    <row r="24" spans="1:6">
      <c r="D24" s="30"/>
    </row>
    <row r="25" spans="1:6">
      <c r="A25" s="23" t="s">
        <v>1042</v>
      </c>
      <c r="D25" s="26">
        <f>MAX(D9,D13,D15,D11,D19,D21)-MIN(D9,D13,D15,D11,D19,D21)</f>
        <v>2833</v>
      </c>
    </row>
    <row r="26" spans="1:6">
      <c r="D26" s="30"/>
    </row>
    <row r="27" spans="1:6">
      <c r="A27" s="23" t="s">
        <v>1045</v>
      </c>
      <c r="D27" s="26">
        <f>STDEVP(D9,D13,D15,D11,D19,D21)</f>
        <v>1072.2373286212755</v>
      </c>
    </row>
    <row r="28" spans="1:6">
      <c r="A28" s="23"/>
      <c r="D28" s="31"/>
    </row>
    <row r="29" spans="1:6">
      <c r="A29" s="23" t="s">
        <v>745</v>
      </c>
      <c r="D29" s="31"/>
    </row>
    <row r="30" spans="1:6">
      <c r="A30" s="23"/>
      <c r="D30" s="31"/>
    </row>
    <row r="31" spans="1:6">
      <c r="A31" s="23"/>
      <c r="D31" s="31"/>
    </row>
    <row r="32" spans="1:6">
      <c r="D32" s="10" t="s">
        <v>285</v>
      </c>
      <c r="E32" s="5"/>
      <c r="F32" s="5" t="s">
        <v>1842</v>
      </c>
    </row>
    <row r="33" spans="1:9">
      <c r="D33" s="4">
        <v>2016</v>
      </c>
      <c r="F33" s="6" t="s">
        <v>286</v>
      </c>
    </row>
    <row r="34" spans="1:9">
      <c r="A34" s="23" t="s">
        <v>595</v>
      </c>
      <c r="C34" s="23"/>
      <c r="D34" s="26">
        <f>SUM(D35:D156)</f>
        <v>392223</v>
      </c>
    </row>
    <row r="35" spans="1:9">
      <c r="A35" s="23" t="s">
        <v>812</v>
      </c>
      <c r="B35" s="23" t="s">
        <v>1834</v>
      </c>
      <c r="C35" s="21" t="s">
        <v>1897</v>
      </c>
      <c r="D35" s="13">
        <v>2536</v>
      </c>
      <c r="F35" s="23" t="s">
        <v>352</v>
      </c>
      <c r="I35"/>
    </row>
    <row r="36" spans="1:9">
      <c r="A36" s="23" t="s">
        <v>813</v>
      </c>
      <c r="B36" s="23" t="s">
        <v>1843</v>
      </c>
      <c r="C36" s="21" t="s">
        <v>1898</v>
      </c>
      <c r="D36" s="13">
        <v>3007</v>
      </c>
      <c r="F36" s="23" t="s">
        <v>2350</v>
      </c>
      <c r="I36"/>
    </row>
    <row r="37" spans="1:9">
      <c r="A37" s="23" t="s">
        <v>814</v>
      </c>
      <c r="B37" s="23" t="s">
        <v>1844</v>
      </c>
      <c r="C37" s="21" t="s">
        <v>1899</v>
      </c>
      <c r="D37" s="13">
        <v>3332</v>
      </c>
      <c r="F37" s="23" t="s">
        <v>2350</v>
      </c>
      <c r="I37"/>
    </row>
    <row r="38" spans="1:9">
      <c r="A38" s="23" t="s">
        <v>815</v>
      </c>
      <c r="B38" s="23" t="s">
        <v>1845</v>
      </c>
      <c r="C38" s="21" t="s">
        <v>1900</v>
      </c>
      <c r="D38" s="13">
        <v>3593</v>
      </c>
      <c r="F38" s="23" t="s">
        <v>2350</v>
      </c>
      <c r="I38"/>
    </row>
    <row r="39" spans="1:9">
      <c r="A39" s="23" t="s">
        <v>816</v>
      </c>
      <c r="B39" s="23" t="s">
        <v>1846</v>
      </c>
      <c r="C39" s="21" t="s">
        <v>1901</v>
      </c>
      <c r="D39" s="13">
        <v>3397</v>
      </c>
      <c r="F39" s="23" t="s">
        <v>353</v>
      </c>
      <c r="I39"/>
    </row>
    <row r="40" spans="1:9">
      <c r="A40" s="23" t="s">
        <v>826</v>
      </c>
      <c r="B40" s="23" t="s">
        <v>1847</v>
      </c>
      <c r="C40" s="21" t="s">
        <v>1902</v>
      </c>
      <c r="D40" s="13">
        <v>5905</v>
      </c>
      <c r="F40" s="63" t="s">
        <v>2347</v>
      </c>
      <c r="I40"/>
    </row>
    <row r="41" spans="1:9">
      <c r="A41" s="23" t="s">
        <v>827</v>
      </c>
      <c r="B41" s="23" t="s">
        <v>287</v>
      </c>
      <c r="C41" s="21" t="s">
        <v>1903</v>
      </c>
      <c r="D41" s="13">
        <v>3333</v>
      </c>
      <c r="F41" s="23" t="s">
        <v>2350</v>
      </c>
      <c r="I41"/>
    </row>
    <row r="42" spans="1:9">
      <c r="A42" s="23" t="s">
        <v>828</v>
      </c>
      <c r="B42" s="23" t="s">
        <v>288</v>
      </c>
      <c r="C42" s="21" t="s">
        <v>1904</v>
      </c>
      <c r="D42" s="13">
        <v>3321</v>
      </c>
      <c r="F42" s="23" t="s">
        <v>352</v>
      </c>
      <c r="I42"/>
    </row>
    <row r="43" spans="1:9">
      <c r="A43" s="23" t="s">
        <v>829</v>
      </c>
      <c r="B43" s="23" t="s">
        <v>1848</v>
      </c>
      <c r="C43" s="21" t="s">
        <v>1905</v>
      </c>
      <c r="D43" s="13">
        <v>3049</v>
      </c>
      <c r="F43" s="23" t="s">
        <v>2352</v>
      </c>
      <c r="I43"/>
    </row>
    <row r="44" spans="1:9">
      <c r="A44" s="23" t="s">
        <v>830</v>
      </c>
      <c r="B44" s="23" t="s">
        <v>1849</v>
      </c>
      <c r="C44" s="21" t="s">
        <v>1906</v>
      </c>
      <c r="D44" s="13">
        <v>3261</v>
      </c>
      <c r="F44" s="23" t="s">
        <v>2352</v>
      </c>
      <c r="I44"/>
    </row>
    <row r="45" spans="1:9">
      <c r="A45" s="23" t="s">
        <v>831</v>
      </c>
      <c r="B45" s="23" t="s">
        <v>1850</v>
      </c>
      <c r="C45" s="21" t="s">
        <v>1907</v>
      </c>
      <c r="D45" s="13">
        <v>3036</v>
      </c>
      <c r="F45" s="23" t="s">
        <v>2352</v>
      </c>
      <c r="I45"/>
    </row>
    <row r="46" spans="1:9">
      <c r="A46" s="23" t="s">
        <v>832</v>
      </c>
      <c r="B46" s="23" t="s">
        <v>1851</v>
      </c>
      <c r="C46" s="21" t="s">
        <v>1908</v>
      </c>
      <c r="D46" s="13">
        <v>2887</v>
      </c>
      <c r="F46" s="23" t="s">
        <v>2352</v>
      </c>
      <c r="I46"/>
    </row>
    <row r="47" spans="1:9">
      <c r="A47" s="23" t="s">
        <v>833</v>
      </c>
      <c r="B47" s="23" t="s">
        <v>1852</v>
      </c>
      <c r="C47" s="21" t="s">
        <v>1909</v>
      </c>
      <c r="D47" s="13">
        <v>2810</v>
      </c>
      <c r="F47" s="23" t="s">
        <v>2352</v>
      </c>
      <c r="I47"/>
    </row>
    <row r="48" spans="1:9">
      <c r="A48" s="23" t="s">
        <v>834</v>
      </c>
      <c r="B48" s="23" t="s">
        <v>104</v>
      </c>
      <c r="C48" s="21" t="s">
        <v>1910</v>
      </c>
      <c r="D48" s="13">
        <v>2952</v>
      </c>
      <c r="F48" s="63" t="s">
        <v>2347</v>
      </c>
      <c r="I48"/>
    </row>
    <row r="49" spans="1:9">
      <c r="A49" s="23" t="s">
        <v>835</v>
      </c>
      <c r="B49" s="23" t="s">
        <v>1853</v>
      </c>
      <c r="C49" s="21" t="s">
        <v>1911</v>
      </c>
      <c r="D49" s="13">
        <v>3630</v>
      </c>
      <c r="F49" s="23" t="s">
        <v>2352</v>
      </c>
      <c r="I49"/>
    </row>
    <row r="50" spans="1:9">
      <c r="A50" s="23" t="s">
        <v>836</v>
      </c>
      <c r="B50" s="23" t="s">
        <v>1854</v>
      </c>
      <c r="C50" s="21" t="s">
        <v>1912</v>
      </c>
      <c r="D50" s="13">
        <v>2914</v>
      </c>
      <c r="F50" s="23" t="s">
        <v>2351</v>
      </c>
      <c r="I50"/>
    </row>
    <row r="51" spans="1:9">
      <c r="A51" s="23" t="s">
        <v>837</v>
      </c>
      <c r="B51" s="23" t="s">
        <v>1855</v>
      </c>
      <c r="C51" s="21" t="s">
        <v>1913</v>
      </c>
      <c r="D51" s="13">
        <v>3656</v>
      </c>
      <c r="F51" s="23" t="s">
        <v>2352</v>
      </c>
      <c r="I51"/>
    </row>
    <row r="52" spans="1:9">
      <c r="A52" s="23" t="s">
        <v>838</v>
      </c>
      <c r="B52" s="23" t="s">
        <v>1856</v>
      </c>
      <c r="C52" s="21" t="s">
        <v>1914</v>
      </c>
      <c r="D52" s="13">
        <v>4102</v>
      </c>
      <c r="F52" s="23" t="s">
        <v>353</v>
      </c>
      <c r="I52"/>
    </row>
    <row r="53" spans="1:9">
      <c r="A53" s="23" t="s">
        <v>840</v>
      </c>
      <c r="B53" s="23" t="s">
        <v>105</v>
      </c>
      <c r="C53" s="21" t="s">
        <v>1915</v>
      </c>
      <c r="D53" s="13">
        <v>2638</v>
      </c>
      <c r="F53" s="23" t="s">
        <v>2352</v>
      </c>
      <c r="I53"/>
    </row>
    <row r="54" spans="1:9">
      <c r="A54" s="23" t="s">
        <v>841</v>
      </c>
      <c r="B54" s="23" t="s">
        <v>106</v>
      </c>
      <c r="C54" s="21" t="s">
        <v>1916</v>
      </c>
      <c r="D54" s="13">
        <v>3591</v>
      </c>
      <c r="F54" s="23" t="s">
        <v>2352</v>
      </c>
      <c r="I54"/>
    </row>
    <row r="55" spans="1:9">
      <c r="A55" s="34">
        <v>21</v>
      </c>
      <c r="B55" s="23" t="s">
        <v>107</v>
      </c>
      <c r="C55" s="21" t="s">
        <v>1917</v>
      </c>
      <c r="D55" s="13">
        <v>3092</v>
      </c>
      <c r="F55" s="23" t="s">
        <v>2352</v>
      </c>
      <c r="I55"/>
    </row>
    <row r="56" spans="1:9">
      <c r="A56" s="35">
        <v>22</v>
      </c>
      <c r="B56" s="23" t="s">
        <v>1857</v>
      </c>
      <c r="C56" s="21" t="s">
        <v>1918</v>
      </c>
      <c r="D56" s="13">
        <v>2964</v>
      </c>
      <c r="F56" s="23" t="s">
        <v>2352</v>
      </c>
      <c r="I56"/>
    </row>
    <row r="57" spans="1:9">
      <c r="A57" s="35">
        <v>23</v>
      </c>
      <c r="B57" s="23" t="s">
        <v>378</v>
      </c>
      <c r="C57" s="21" t="s">
        <v>1919</v>
      </c>
      <c r="D57" s="13">
        <v>3363</v>
      </c>
      <c r="F57" s="23" t="s">
        <v>2352</v>
      </c>
      <c r="I57"/>
    </row>
    <row r="58" spans="1:9">
      <c r="A58" s="35">
        <v>24</v>
      </c>
      <c r="B58" s="23" t="s">
        <v>1858</v>
      </c>
      <c r="C58" s="21" t="s">
        <v>1920</v>
      </c>
      <c r="D58" s="13">
        <v>3649</v>
      </c>
      <c r="F58" s="23" t="s">
        <v>2351</v>
      </c>
      <c r="I58"/>
    </row>
    <row r="59" spans="1:9">
      <c r="A59" s="35">
        <v>25</v>
      </c>
      <c r="B59" s="23" t="s">
        <v>1859</v>
      </c>
      <c r="C59" s="21" t="s">
        <v>1921</v>
      </c>
      <c r="D59" s="13">
        <v>3305</v>
      </c>
      <c r="F59" s="23" t="s">
        <v>2352</v>
      </c>
      <c r="I59"/>
    </row>
    <row r="60" spans="1:9">
      <c r="A60" s="35">
        <v>26</v>
      </c>
      <c r="B60" s="23" t="s">
        <v>1860</v>
      </c>
      <c r="C60" s="21" t="s">
        <v>1922</v>
      </c>
      <c r="D60" s="13">
        <v>3167</v>
      </c>
      <c r="F60" s="23" t="s">
        <v>2350</v>
      </c>
      <c r="I60"/>
    </row>
    <row r="61" spans="1:9">
      <c r="A61" s="35">
        <v>27</v>
      </c>
      <c r="B61" s="23" t="s">
        <v>1861</v>
      </c>
      <c r="C61" s="21" t="s">
        <v>1923</v>
      </c>
      <c r="D61" s="13">
        <v>3279</v>
      </c>
      <c r="F61" s="63" t="s">
        <v>2347</v>
      </c>
      <c r="I61"/>
    </row>
    <row r="62" spans="1:9">
      <c r="A62" s="35">
        <v>28</v>
      </c>
      <c r="B62" s="23" t="s">
        <v>1717</v>
      </c>
      <c r="C62" s="21" t="s">
        <v>1924</v>
      </c>
      <c r="D62" s="13">
        <v>3140</v>
      </c>
      <c r="F62" s="23" t="s">
        <v>353</v>
      </c>
      <c r="I62"/>
    </row>
    <row r="63" spans="1:9">
      <c r="A63" s="35">
        <v>29</v>
      </c>
      <c r="B63" s="23" t="s">
        <v>1862</v>
      </c>
      <c r="C63" s="21" t="s">
        <v>1925</v>
      </c>
      <c r="D63" s="13">
        <v>3412</v>
      </c>
      <c r="F63" s="23" t="s">
        <v>352</v>
      </c>
      <c r="I63"/>
    </row>
    <row r="64" spans="1:9">
      <c r="A64" s="35">
        <v>30</v>
      </c>
      <c r="B64" s="23" t="s">
        <v>289</v>
      </c>
      <c r="C64" s="21" t="s">
        <v>1926</v>
      </c>
      <c r="D64" s="13">
        <v>3444</v>
      </c>
      <c r="F64" s="23" t="s">
        <v>353</v>
      </c>
      <c r="I64"/>
    </row>
    <row r="65" spans="1:9">
      <c r="A65" s="35">
        <v>31</v>
      </c>
      <c r="B65" s="23" t="s">
        <v>935</v>
      </c>
      <c r="C65" s="21" t="s">
        <v>1927</v>
      </c>
      <c r="D65" s="13">
        <v>3387</v>
      </c>
      <c r="F65" s="23" t="s">
        <v>353</v>
      </c>
      <c r="I65"/>
    </row>
    <row r="66" spans="1:9">
      <c r="A66" s="35">
        <v>32</v>
      </c>
      <c r="B66" s="23" t="s">
        <v>936</v>
      </c>
      <c r="C66" s="21" t="s">
        <v>1928</v>
      </c>
      <c r="D66" s="13">
        <v>3107</v>
      </c>
      <c r="F66" s="23" t="s">
        <v>353</v>
      </c>
      <c r="I66"/>
    </row>
    <row r="67" spans="1:9">
      <c r="A67" s="35">
        <v>33</v>
      </c>
      <c r="B67" s="23" t="s">
        <v>937</v>
      </c>
      <c r="C67" s="21" t="s">
        <v>1929</v>
      </c>
      <c r="D67" s="13">
        <v>3504</v>
      </c>
      <c r="F67" s="23" t="s">
        <v>353</v>
      </c>
      <c r="I67"/>
    </row>
    <row r="68" spans="1:9">
      <c r="A68" s="35">
        <v>34</v>
      </c>
      <c r="B68" s="23" t="s">
        <v>1863</v>
      </c>
      <c r="C68" s="21" t="s">
        <v>1930</v>
      </c>
      <c r="D68" s="13">
        <v>3734</v>
      </c>
      <c r="F68" s="23" t="s">
        <v>353</v>
      </c>
      <c r="I68"/>
    </row>
    <row r="69" spans="1:9">
      <c r="A69" s="35">
        <v>35</v>
      </c>
      <c r="B69" s="23" t="s">
        <v>938</v>
      </c>
      <c r="C69" s="21" t="s">
        <v>1931</v>
      </c>
      <c r="D69" s="13">
        <v>3509</v>
      </c>
      <c r="F69" s="23" t="s">
        <v>2352</v>
      </c>
      <c r="I69"/>
    </row>
    <row r="70" spans="1:9">
      <c r="A70" s="35">
        <v>36</v>
      </c>
      <c r="B70" s="23" t="s">
        <v>939</v>
      </c>
      <c r="C70" s="21" t="s">
        <v>1932</v>
      </c>
      <c r="D70" s="13">
        <v>3410</v>
      </c>
      <c r="F70" s="23" t="s">
        <v>2351</v>
      </c>
      <c r="I70"/>
    </row>
    <row r="71" spans="1:9">
      <c r="A71" s="35">
        <v>37</v>
      </c>
      <c r="B71" s="23" t="s">
        <v>1864</v>
      </c>
      <c r="C71" s="21" t="s">
        <v>1933</v>
      </c>
      <c r="D71" s="13">
        <v>3056</v>
      </c>
      <c r="F71" s="23" t="s">
        <v>2350</v>
      </c>
      <c r="I71"/>
    </row>
    <row r="72" spans="1:9">
      <c r="A72" s="35">
        <v>38</v>
      </c>
      <c r="B72" s="23" t="s">
        <v>1865</v>
      </c>
      <c r="C72" s="21" t="s">
        <v>1934</v>
      </c>
      <c r="D72" s="13">
        <v>3640</v>
      </c>
      <c r="F72" s="23" t="s">
        <v>2352</v>
      </c>
      <c r="I72"/>
    </row>
    <row r="73" spans="1:9">
      <c r="A73" s="35">
        <v>39</v>
      </c>
      <c r="B73" s="23" t="s">
        <v>940</v>
      </c>
      <c r="C73" s="21" t="s">
        <v>1935</v>
      </c>
      <c r="D73" s="13">
        <v>2500</v>
      </c>
      <c r="F73" s="63" t="s">
        <v>2347</v>
      </c>
      <c r="I73"/>
    </row>
    <row r="74" spans="1:9">
      <c r="A74" s="35">
        <v>40</v>
      </c>
      <c r="B74" s="23" t="s">
        <v>1866</v>
      </c>
      <c r="C74" s="21" t="s">
        <v>1936</v>
      </c>
      <c r="D74" s="13">
        <v>3552</v>
      </c>
      <c r="F74" s="63" t="s">
        <v>2347</v>
      </c>
      <c r="I74"/>
    </row>
    <row r="75" spans="1:9">
      <c r="A75" s="34">
        <v>41</v>
      </c>
      <c r="B75" s="23" t="s">
        <v>941</v>
      </c>
      <c r="C75" s="21" t="s">
        <v>1937</v>
      </c>
      <c r="D75" s="13">
        <v>2681</v>
      </c>
      <c r="F75" s="63" t="s">
        <v>2347</v>
      </c>
      <c r="I75"/>
    </row>
    <row r="76" spans="1:9">
      <c r="A76" s="34">
        <v>42</v>
      </c>
      <c r="B76" s="23" t="s">
        <v>849</v>
      </c>
      <c r="C76" s="21" t="s">
        <v>1938</v>
      </c>
      <c r="D76" s="13">
        <v>2993</v>
      </c>
      <c r="F76" s="23" t="s">
        <v>353</v>
      </c>
      <c r="I76"/>
    </row>
    <row r="77" spans="1:9">
      <c r="A77" s="34">
        <v>43</v>
      </c>
      <c r="B77" s="23" t="s">
        <v>1867</v>
      </c>
      <c r="C77" s="21" t="s">
        <v>1939</v>
      </c>
      <c r="D77" s="13">
        <v>3407</v>
      </c>
      <c r="F77" s="23" t="s">
        <v>352</v>
      </c>
      <c r="I77"/>
    </row>
    <row r="78" spans="1:9">
      <c r="A78" s="34">
        <v>44</v>
      </c>
      <c r="B78" s="23" t="s">
        <v>942</v>
      </c>
      <c r="C78" s="21" t="s">
        <v>1940</v>
      </c>
      <c r="D78" s="13">
        <v>1330</v>
      </c>
      <c r="F78" s="23" t="s">
        <v>352</v>
      </c>
      <c r="I78"/>
    </row>
    <row r="79" spans="1:9">
      <c r="A79" s="34">
        <v>45</v>
      </c>
      <c r="B79" s="23" t="s">
        <v>1868</v>
      </c>
      <c r="C79" s="21" t="s">
        <v>1941</v>
      </c>
      <c r="D79" s="13">
        <v>3135</v>
      </c>
      <c r="F79" s="23" t="s">
        <v>352</v>
      </c>
      <c r="I79"/>
    </row>
    <row r="80" spans="1:9">
      <c r="A80" s="34">
        <v>46</v>
      </c>
      <c r="B80" s="23" t="s">
        <v>1073</v>
      </c>
      <c r="C80" s="21" t="s">
        <v>1942</v>
      </c>
      <c r="D80" s="13">
        <v>2559</v>
      </c>
      <c r="F80" s="23" t="s">
        <v>352</v>
      </c>
      <c r="I80"/>
    </row>
    <row r="81" spans="1:9">
      <c r="A81" s="34">
        <v>47</v>
      </c>
      <c r="B81" s="23" t="s">
        <v>2019</v>
      </c>
      <c r="C81" s="21" t="s">
        <v>1943</v>
      </c>
      <c r="D81" s="13">
        <v>3621</v>
      </c>
      <c r="F81" s="23" t="s">
        <v>352</v>
      </c>
      <c r="I81"/>
    </row>
    <row r="82" spans="1:9">
      <c r="A82" s="34">
        <v>48</v>
      </c>
      <c r="B82" s="23" t="s">
        <v>1049</v>
      </c>
      <c r="C82" s="21" t="s">
        <v>1944</v>
      </c>
      <c r="D82" s="13">
        <v>3212</v>
      </c>
      <c r="F82" s="23" t="s">
        <v>352</v>
      </c>
      <c r="I82"/>
    </row>
    <row r="83" spans="1:9">
      <c r="A83" s="34">
        <v>49</v>
      </c>
      <c r="B83" s="23" t="s">
        <v>1050</v>
      </c>
      <c r="C83" s="21" t="s">
        <v>1945</v>
      </c>
      <c r="D83" s="13">
        <v>3157</v>
      </c>
      <c r="F83" s="23" t="s">
        <v>353</v>
      </c>
      <c r="I83"/>
    </row>
    <row r="84" spans="1:9">
      <c r="A84" s="34">
        <v>50</v>
      </c>
      <c r="B84" s="23" t="s">
        <v>1869</v>
      </c>
      <c r="C84" s="21" t="s">
        <v>1946</v>
      </c>
      <c r="D84" s="13">
        <v>3361</v>
      </c>
      <c r="F84" s="23" t="s">
        <v>352</v>
      </c>
      <c r="I84"/>
    </row>
    <row r="85" spans="1:9">
      <c r="A85" s="34">
        <v>51</v>
      </c>
      <c r="B85" s="23" t="s">
        <v>1870</v>
      </c>
      <c r="C85" s="21" t="s">
        <v>1947</v>
      </c>
      <c r="D85" s="13">
        <v>3714</v>
      </c>
      <c r="F85" s="23" t="s">
        <v>2352</v>
      </c>
      <c r="I85"/>
    </row>
    <row r="86" spans="1:9">
      <c r="A86" s="34">
        <v>52</v>
      </c>
      <c r="B86" s="23" t="s">
        <v>1871</v>
      </c>
      <c r="C86" s="21" t="s">
        <v>1948</v>
      </c>
      <c r="D86" s="13">
        <v>3477</v>
      </c>
      <c r="F86" s="23" t="s">
        <v>353</v>
      </c>
      <c r="I86"/>
    </row>
    <row r="87" spans="1:9">
      <c r="A87" s="34">
        <v>53</v>
      </c>
      <c r="B87" s="23" t="s">
        <v>1051</v>
      </c>
      <c r="C87" s="21" t="s">
        <v>1949</v>
      </c>
      <c r="D87" s="13">
        <v>3014</v>
      </c>
      <c r="F87" s="23" t="s">
        <v>352</v>
      </c>
      <c r="I87"/>
    </row>
    <row r="88" spans="1:9">
      <c r="A88" s="34">
        <v>54</v>
      </c>
      <c r="B88" s="23" t="s">
        <v>1052</v>
      </c>
      <c r="C88" s="21" t="s">
        <v>1950</v>
      </c>
      <c r="D88" s="13">
        <v>3086</v>
      </c>
      <c r="F88" s="23" t="s">
        <v>2350</v>
      </c>
      <c r="I88"/>
    </row>
    <row r="89" spans="1:9">
      <c r="A89" s="34">
        <v>55</v>
      </c>
      <c r="B89" s="23" t="s">
        <v>1053</v>
      </c>
      <c r="C89" s="21" t="s">
        <v>1951</v>
      </c>
      <c r="D89" s="13">
        <v>3219</v>
      </c>
      <c r="F89" s="23" t="s">
        <v>2350</v>
      </c>
      <c r="I89"/>
    </row>
    <row r="90" spans="1:9">
      <c r="A90" s="34">
        <v>56</v>
      </c>
      <c r="B90" s="23" t="s">
        <v>1054</v>
      </c>
      <c r="C90" s="21" t="s">
        <v>1952</v>
      </c>
      <c r="D90" s="13">
        <v>3447</v>
      </c>
      <c r="F90" s="23" t="s">
        <v>2351</v>
      </c>
      <c r="I90"/>
    </row>
    <row r="91" spans="1:9">
      <c r="A91" s="34">
        <v>57</v>
      </c>
      <c r="B91" s="23" t="s">
        <v>1872</v>
      </c>
      <c r="C91" s="21" t="s">
        <v>1953</v>
      </c>
      <c r="D91" s="13">
        <v>3211</v>
      </c>
      <c r="F91" s="23" t="s">
        <v>353</v>
      </c>
      <c r="I91"/>
    </row>
    <row r="92" spans="1:9">
      <c r="A92" s="34">
        <v>58</v>
      </c>
      <c r="B92" s="23" t="s">
        <v>1055</v>
      </c>
      <c r="C92" s="21" t="s">
        <v>1954</v>
      </c>
      <c r="D92" s="13">
        <v>3656</v>
      </c>
      <c r="F92" s="23" t="s">
        <v>2351</v>
      </c>
      <c r="I92"/>
    </row>
    <row r="93" spans="1:9">
      <c r="A93" s="34">
        <v>59</v>
      </c>
      <c r="B93" s="23" t="s">
        <v>1056</v>
      </c>
      <c r="C93" s="21" t="s">
        <v>1955</v>
      </c>
      <c r="D93" s="13">
        <v>3233</v>
      </c>
      <c r="F93" s="23" t="s">
        <v>353</v>
      </c>
      <c r="I93"/>
    </row>
    <row r="94" spans="1:9">
      <c r="A94" s="34">
        <v>60</v>
      </c>
      <c r="B94" s="23" t="s">
        <v>1057</v>
      </c>
      <c r="C94" s="21" t="s">
        <v>1956</v>
      </c>
      <c r="D94" s="13">
        <v>2534</v>
      </c>
      <c r="F94" s="23" t="s">
        <v>2351</v>
      </c>
      <c r="I94"/>
    </row>
    <row r="95" spans="1:9">
      <c r="A95" s="34">
        <v>61</v>
      </c>
      <c r="B95" s="23" t="s">
        <v>1058</v>
      </c>
      <c r="C95" s="21" t="s">
        <v>1957</v>
      </c>
      <c r="D95" s="13">
        <v>2936</v>
      </c>
      <c r="F95" s="23" t="s">
        <v>2351</v>
      </c>
      <c r="I95"/>
    </row>
    <row r="96" spans="1:9">
      <c r="A96" s="34">
        <v>62</v>
      </c>
      <c r="B96" s="23" t="s">
        <v>1059</v>
      </c>
      <c r="C96" s="21" t="s">
        <v>1958</v>
      </c>
      <c r="D96" s="13">
        <v>2902</v>
      </c>
      <c r="F96" s="23" t="s">
        <v>2351</v>
      </c>
      <c r="I96"/>
    </row>
    <row r="97" spans="1:9">
      <c r="A97" s="34">
        <v>63</v>
      </c>
      <c r="B97" s="23" t="s">
        <v>1060</v>
      </c>
      <c r="C97" s="21" t="s">
        <v>1959</v>
      </c>
      <c r="D97" s="13">
        <v>2817</v>
      </c>
      <c r="F97" s="23" t="s">
        <v>2351</v>
      </c>
      <c r="I97"/>
    </row>
    <row r="98" spans="1:9">
      <c r="A98" s="34">
        <v>64</v>
      </c>
      <c r="B98" s="23" t="s">
        <v>1061</v>
      </c>
      <c r="C98" s="21" t="s">
        <v>1960</v>
      </c>
      <c r="D98" s="13">
        <v>2956</v>
      </c>
      <c r="F98" s="23" t="s">
        <v>2351</v>
      </c>
      <c r="I98"/>
    </row>
    <row r="99" spans="1:9">
      <c r="A99" s="34">
        <v>65</v>
      </c>
      <c r="B99" s="23" t="s">
        <v>1062</v>
      </c>
      <c r="C99" s="21" t="s">
        <v>1961</v>
      </c>
      <c r="D99" s="13">
        <v>3063</v>
      </c>
      <c r="F99" s="23" t="s">
        <v>2350</v>
      </c>
      <c r="I99"/>
    </row>
    <row r="100" spans="1:9">
      <c r="A100" s="34">
        <v>66</v>
      </c>
      <c r="B100" s="36" t="s">
        <v>1873</v>
      </c>
      <c r="C100" s="21" t="s">
        <v>1962</v>
      </c>
      <c r="D100" s="13">
        <v>3016</v>
      </c>
      <c r="F100" s="23" t="s">
        <v>2350</v>
      </c>
      <c r="I100"/>
    </row>
    <row r="101" spans="1:9">
      <c r="A101" s="34">
        <v>67</v>
      </c>
      <c r="B101" s="23" t="s">
        <v>1063</v>
      </c>
      <c r="C101" s="21" t="s">
        <v>1963</v>
      </c>
      <c r="D101" s="13">
        <v>3904</v>
      </c>
      <c r="F101" s="23" t="s">
        <v>2352</v>
      </c>
      <c r="I101"/>
    </row>
    <row r="102" spans="1:9">
      <c r="A102" s="34">
        <v>68</v>
      </c>
      <c r="B102" s="23" t="s">
        <v>1064</v>
      </c>
      <c r="C102" s="21" t="s">
        <v>1964</v>
      </c>
      <c r="D102" s="13">
        <v>3239</v>
      </c>
      <c r="F102" s="23" t="s">
        <v>2352</v>
      </c>
      <c r="I102"/>
    </row>
    <row r="103" spans="1:9">
      <c r="A103" s="34">
        <v>69</v>
      </c>
      <c r="B103" s="23" t="s">
        <v>1874</v>
      </c>
      <c r="C103" s="21" t="s">
        <v>1965</v>
      </c>
      <c r="D103" s="13">
        <v>3309</v>
      </c>
      <c r="F103" s="23" t="s">
        <v>2350</v>
      </c>
      <c r="I103"/>
    </row>
    <row r="104" spans="1:9">
      <c r="A104" s="34">
        <v>70</v>
      </c>
      <c r="B104" s="23" t="s">
        <v>1065</v>
      </c>
      <c r="C104" s="21" t="s">
        <v>1966</v>
      </c>
      <c r="D104" s="13">
        <v>2903</v>
      </c>
      <c r="F104" s="23" t="s">
        <v>353</v>
      </c>
      <c r="I104"/>
    </row>
    <row r="105" spans="1:9">
      <c r="A105" s="34">
        <v>71</v>
      </c>
      <c r="B105" s="23" t="s">
        <v>1066</v>
      </c>
      <c r="C105" s="21" t="s">
        <v>1967</v>
      </c>
      <c r="D105" s="13">
        <v>2907</v>
      </c>
      <c r="F105" s="23" t="s">
        <v>353</v>
      </c>
      <c r="I105"/>
    </row>
    <row r="106" spans="1:9">
      <c r="A106" s="34">
        <v>72</v>
      </c>
      <c r="B106" s="23" t="s">
        <v>1067</v>
      </c>
      <c r="C106" s="21" t="s">
        <v>1968</v>
      </c>
      <c r="D106" s="13">
        <v>2938</v>
      </c>
      <c r="F106" s="23" t="s">
        <v>353</v>
      </c>
      <c r="I106"/>
    </row>
    <row r="107" spans="1:9">
      <c r="A107" s="34">
        <v>73</v>
      </c>
      <c r="B107" s="23" t="s">
        <v>1068</v>
      </c>
      <c r="C107" s="21" t="s">
        <v>1969</v>
      </c>
      <c r="D107" s="13">
        <v>3455</v>
      </c>
      <c r="F107" s="23" t="s">
        <v>2351</v>
      </c>
      <c r="I107"/>
    </row>
    <row r="108" spans="1:9">
      <c r="A108" s="34">
        <v>74</v>
      </c>
      <c r="B108" s="23" t="s">
        <v>1875</v>
      </c>
      <c r="C108" s="21" t="s">
        <v>1970</v>
      </c>
      <c r="D108" s="13">
        <v>3001</v>
      </c>
      <c r="F108" s="23" t="s">
        <v>2352</v>
      </c>
      <c r="I108"/>
    </row>
    <row r="109" spans="1:9">
      <c r="A109" s="34">
        <v>75</v>
      </c>
      <c r="B109" s="23" t="s">
        <v>1876</v>
      </c>
      <c r="C109" s="21" t="s">
        <v>1971</v>
      </c>
      <c r="D109" s="13">
        <v>3145</v>
      </c>
      <c r="F109" s="23" t="s">
        <v>353</v>
      </c>
      <c r="I109"/>
    </row>
    <row r="110" spans="1:9">
      <c r="A110" s="34">
        <v>76</v>
      </c>
      <c r="B110" s="23" t="s">
        <v>1069</v>
      </c>
      <c r="C110" s="21" t="s">
        <v>1972</v>
      </c>
      <c r="D110" s="13">
        <v>3458</v>
      </c>
      <c r="F110" s="63" t="s">
        <v>2347</v>
      </c>
      <c r="I110"/>
    </row>
    <row r="111" spans="1:9">
      <c r="A111" s="34">
        <v>77</v>
      </c>
      <c r="B111" s="23" t="s">
        <v>1877</v>
      </c>
      <c r="C111" s="21" t="s">
        <v>1973</v>
      </c>
      <c r="D111" s="13">
        <v>3136</v>
      </c>
      <c r="F111" s="23" t="s">
        <v>2351</v>
      </c>
      <c r="I111"/>
    </row>
    <row r="112" spans="1:9">
      <c r="A112" s="34">
        <v>78</v>
      </c>
      <c r="B112" s="23" t="s">
        <v>1878</v>
      </c>
      <c r="C112" s="21" t="s">
        <v>1974</v>
      </c>
      <c r="D112" s="13">
        <v>3631</v>
      </c>
      <c r="F112" s="23" t="s">
        <v>352</v>
      </c>
      <c r="I112"/>
    </row>
    <row r="113" spans="1:9">
      <c r="A113" s="34">
        <v>79</v>
      </c>
      <c r="B113" s="23" t="s">
        <v>1070</v>
      </c>
      <c r="C113" s="21" t="s">
        <v>1975</v>
      </c>
      <c r="D113" s="13">
        <v>2792</v>
      </c>
      <c r="F113" s="23" t="s">
        <v>2352</v>
      </c>
      <c r="I113"/>
    </row>
    <row r="114" spans="1:9">
      <c r="A114" s="34">
        <v>80</v>
      </c>
      <c r="B114" s="23" t="s">
        <v>1076</v>
      </c>
      <c r="C114" s="21" t="s">
        <v>1976</v>
      </c>
      <c r="D114" s="13">
        <v>4210</v>
      </c>
      <c r="F114" s="23" t="s">
        <v>2352</v>
      </c>
      <c r="I114"/>
    </row>
    <row r="115" spans="1:9">
      <c r="A115" s="34">
        <v>81</v>
      </c>
      <c r="B115" s="23" t="s">
        <v>1077</v>
      </c>
      <c r="C115" s="21" t="s">
        <v>1977</v>
      </c>
      <c r="D115" s="13">
        <v>2893</v>
      </c>
      <c r="F115" s="23" t="s">
        <v>2352</v>
      </c>
      <c r="I115"/>
    </row>
    <row r="116" spans="1:9">
      <c r="A116" s="34">
        <v>82</v>
      </c>
      <c r="B116" s="23" t="s">
        <v>1078</v>
      </c>
      <c r="C116" s="21" t="s">
        <v>1978</v>
      </c>
      <c r="D116" s="13">
        <v>2831</v>
      </c>
      <c r="F116" s="23" t="s">
        <v>2350</v>
      </c>
      <c r="I116"/>
    </row>
    <row r="117" spans="1:9">
      <c r="A117" s="34">
        <v>83</v>
      </c>
      <c r="B117" s="23" t="s">
        <v>1079</v>
      </c>
      <c r="C117" s="21" t="s">
        <v>1979</v>
      </c>
      <c r="D117" s="13">
        <v>2764</v>
      </c>
      <c r="F117" s="23" t="s">
        <v>2351</v>
      </c>
      <c r="I117"/>
    </row>
    <row r="118" spans="1:9">
      <c r="A118" s="34">
        <v>84</v>
      </c>
      <c r="B118" s="23" t="s">
        <v>1080</v>
      </c>
      <c r="C118" s="21" t="s">
        <v>1980</v>
      </c>
      <c r="D118" s="13">
        <v>3510</v>
      </c>
      <c r="F118" s="23" t="s">
        <v>2351</v>
      </c>
      <c r="I118"/>
    </row>
    <row r="119" spans="1:9">
      <c r="A119" s="34">
        <v>85</v>
      </c>
      <c r="B119" s="23" t="s">
        <v>1081</v>
      </c>
      <c r="C119" s="21" t="s">
        <v>1981</v>
      </c>
      <c r="D119" s="13">
        <v>3608</v>
      </c>
      <c r="F119" s="23" t="s">
        <v>2350</v>
      </c>
      <c r="I119"/>
    </row>
    <row r="120" spans="1:9">
      <c r="A120" s="34">
        <v>86</v>
      </c>
      <c r="B120" s="23" t="s">
        <v>1082</v>
      </c>
      <c r="C120" s="21" t="s">
        <v>1982</v>
      </c>
      <c r="D120" s="13">
        <v>3499</v>
      </c>
      <c r="F120" s="23" t="s">
        <v>2350</v>
      </c>
      <c r="I120"/>
    </row>
    <row r="121" spans="1:9">
      <c r="A121" s="34">
        <v>87</v>
      </c>
      <c r="B121" s="23" t="s">
        <v>1083</v>
      </c>
      <c r="C121" s="21" t="s">
        <v>1983</v>
      </c>
      <c r="D121" s="13">
        <v>3055</v>
      </c>
      <c r="F121" s="23" t="s">
        <v>2350</v>
      </c>
      <c r="I121"/>
    </row>
    <row r="122" spans="1:9">
      <c r="A122" s="34">
        <v>88</v>
      </c>
      <c r="B122" s="23" t="s">
        <v>1084</v>
      </c>
      <c r="C122" s="21" t="s">
        <v>1984</v>
      </c>
      <c r="D122" s="13">
        <v>3256</v>
      </c>
      <c r="F122" s="23" t="s">
        <v>2350</v>
      </c>
      <c r="I122"/>
    </row>
    <row r="123" spans="1:9">
      <c r="A123" s="34">
        <v>89</v>
      </c>
      <c r="B123" s="23" t="s">
        <v>1883</v>
      </c>
      <c r="C123" s="21" t="s">
        <v>1985</v>
      </c>
      <c r="D123" s="13">
        <v>2986</v>
      </c>
      <c r="F123" s="23" t="s">
        <v>2350</v>
      </c>
      <c r="I123"/>
    </row>
    <row r="124" spans="1:9">
      <c r="A124" s="34">
        <v>90</v>
      </c>
      <c r="B124" s="23" t="s">
        <v>1086</v>
      </c>
      <c r="C124" s="21" t="s">
        <v>1986</v>
      </c>
      <c r="D124" s="13">
        <v>3424</v>
      </c>
      <c r="F124" s="23" t="s">
        <v>353</v>
      </c>
      <c r="I124"/>
    </row>
    <row r="125" spans="1:9">
      <c r="A125" s="34">
        <v>91</v>
      </c>
      <c r="B125" s="23" t="s">
        <v>1085</v>
      </c>
      <c r="C125" s="21" t="s">
        <v>1987</v>
      </c>
      <c r="D125" s="13">
        <v>3401</v>
      </c>
      <c r="F125" s="23" t="s">
        <v>352</v>
      </c>
      <c r="I125"/>
    </row>
    <row r="126" spans="1:9">
      <c r="A126" s="34">
        <v>92</v>
      </c>
      <c r="B126" s="23" t="s">
        <v>1884</v>
      </c>
      <c r="C126" s="21" t="s">
        <v>1988</v>
      </c>
      <c r="D126" s="13">
        <v>3432</v>
      </c>
      <c r="F126" s="23" t="s">
        <v>2350</v>
      </c>
      <c r="I126"/>
    </row>
    <row r="127" spans="1:9">
      <c r="A127" s="34">
        <v>93</v>
      </c>
      <c r="B127" s="23" t="s">
        <v>1885</v>
      </c>
      <c r="C127" s="21" t="s">
        <v>1989</v>
      </c>
      <c r="D127" s="13">
        <v>3112</v>
      </c>
      <c r="F127" s="23" t="s">
        <v>2351</v>
      </c>
      <c r="I127"/>
    </row>
    <row r="128" spans="1:9">
      <c r="A128" s="34">
        <v>94</v>
      </c>
      <c r="B128" s="23" t="s">
        <v>1886</v>
      </c>
      <c r="C128" s="21" t="s">
        <v>1990</v>
      </c>
      <c r="D128" s="13">
        <v>3323</v>
      </c>
      <c r="F128" s="23" t="s">
        <v>352</v>
      </c>
      <c r="I128"/>
    </row>
    <row r="129" spans="1:9">
      <c r="A129" s="34">
        <v>95</v>
      </c>
      <c r="B129" s="23" t="s">
        <v>928</v>
      </c>
      <c r="C129" s="21" t="s">
        <v>1991</v>
      </c>
      <c r="D129" s="13">
        <v>3236</v>
      </c>
      <c r="F129" s="23" t="s">
        <v>2351</v>
      </c>
      <c r="I129"/>
    </row>
    <row r="130" spans="1:9">
      <c r="A130" s="34">
        <v>96</v>
      </c>
      <c r="B130" s="23" t="s">
        <v>1887</v>
      </c>
      <c r="C130" s="21" t="s">
        <v>1992</v>
      </c>
      <c r="D130" s="13">
        <v>3290</v>
      </c>
      <c r="F130" s="23" t="s">
        <v>352</v>
      </c>
      <c r="I130"/>
    </row>
    <row r="131" spans="1:9">
      <c r="A131" s="34">
        <v>97</v>
      </c>
      <c r="B131" s="23" t="s">
        <v>1888</v>
      </c>
      <c r="C131" s="21" t="s">
        <v>1993</v>
      </c>
      <c r="D131" s="13">
        <v>3305</v>
      </c>
      <c r="F131" s="23" t="s">
        <v>2350</v>
      </c>
      <c r="I131"/>
    </row>
    <row r="132" spans="1:9">
      <c r="A132" s="34">
        <v>98</v>
      </c>
      <c r="B132" s="23" t="s">
        <v>544</v>
      </c>
      <c r="C132" s="21" t="s">
        <v>1994</v>
      </c>
      <c r="D132" s="13">
        <v>2668</v>
      </c>
      <c r="F132" s="23" t="s">
        <v>353</v>
      </c>
      <c r="I132"/>
    </row>
    <row r="133" spans="1:9">
      <c r="A133" s="34">
        <v>99</v>
      </c>
      <c r="B133" s="23" t="s">
        <v>545</v>
      </c>
      <c r="C133" s="21" t="s">
        <v>1995</v>
      </c>
      <c r="D133" s="13">
        <v>3011</v>
      </c>
      <c r="F133" s="23" t="s">
        <v>353</v>
      </c>
      <c r="I133"/>
    </row>
    <row r="134" spans="1:9">
      <c r="A134" s="34">
        <v>100</v>
      </c>
      <c r="B134" s="23" t="s">
        <v>1889</v>
      </c>
      <c r="C134" s="21" t="s">
        <v>1996</v>
      </c>
      <c r="D134" s="13">
        <v>3591</v>
      </c>
      <c r="F134" s="23" t="s">
        <v>353</v>
      </c>
      <c r="I134"/>
    </row>
    <row r="135" spans="1:9">
      <c r="A135" s="34">
        <v>101</v>
      </c>
      <c r="B135" s="23" t="s">
        <v>929</v>
      </c>
      <c r="C135" s="21" t="s">
        <v>1997</v>
      </c>
      <c r="D135" s="13">
        <v>3847</v>
      </c>
      <c r="F135" s="23" t="s">
        <v>353</v>
      </c>
    </row>
    <row r="136" spans="1:9">
      <c r="A136" s="34">
        <v>102</v>
      </c>
      <c r="B136" s="23" t="s">
        <v>1890</v>
      </c>
      <c r="C136" s="21" t="s">
        <v>1998</v>
      </c>
      <c r="D136" s="13">
        <v>2799</v>
      </c>
      <c r="F136" s="23" t="s">
        <v>2351</v>
      </c>
    </row>
    <row r="137" spans="1:9">
      <c r="A137" s="34">
        <v>103</v>
      </c>
      <c r="B137" s="23" t="s">
        <v>930</v>
      </c>
      <c r="C137" s="21" t="s">
        <v>1999</v>
      </c>
      <c r="D137" s="13">
        <v>2967</v>
      </c>
      <c r="F137" s="23" t="s">
        <v>2350</v>
      </c>
    </row>
    <row r="138" spans="1:9">
      <c r="A138" s="34">
        <v>104</v>
      </c>
      <c r="B138" s="23" t="s">
        <v>1891</v>
      </c>
      <c r="C138" s="21" t="s">
        <v>2000</v>
      </c>
      <c r="D138" s="13">
        <v>2394</v>
      </c>
      <c r="F138" s="23" t="s">
        <v>2350</v>
      </c>
    </row>
    <row r="139" spans="1:9">
      <c r="A139" s="34">
        <v>105</v>
      </c>
      <c r="B139" s="23" t="s">
        <v>1892</v>
      </c>
      <c r="C139" s="21" t="s">
        <v>2001</v>
      </c>
      <c r="D139" s="13">
        <v>3456</v>
      </c>
      <c r="F139" s="23" t="s">
        <v>2351</v>
      </c>
    </row>
    <row r="140" spans="1:9">
      <c r="A140" s="34">
        <v>106</v>
      </c>
      <c r="B140" s="23" t="s">
        <v>1893</v>
      </c>
      <c r="C140" s="21" t="s">
        <v>2002</v>
      </c>
      <c r="D140" s="13">
        <v>3085</v>
      </c>
      <c r="F140" s="63" t="s">
        <v>2347</v>
      </c>
    </row>
    <row r="141" spans="1:9">
      <c r="A141" s="34">
        <v>107</v>
      </c>
      <c r="B141" s="23" t="s">
        <v>1879</v>
      </c>
      <c r="C141" s="21" t="s">
        <v>2003</v>
      </c>
      <c r="D141" s="13">
        <v>3093</v>
      </c>
      <c r="F141" s="23" t="s">
        <v>352</v>
      </c>
    </row>
    <row r="142" spans="1:9">
      <c r="A142" s="34">
        <v>108</v>
      </c>
      <c r="B142" s="23" t="s">
        <v>1880</v>
      </c>
      <c r="C142" s="21" t="s">
        <v>2004</v>
      </c>
      <c r="D142" s="13">
        <v>3030</v>
      </c>
      <c r="F142" s="23" t="s">
        <v>352</v>
      </c>
    </row>
    <row r="143" spans="1:9">
      <c r="A143" s="34">
        <v>109</v>
      </c>
      <c r="B143" s="23" t="s">
        <v>1881</v>
      </c>
      <c r="C143" s="21" t="s">
        <v>2005</v>
      </c>
      <c r="D143" s="13">
        <v>3012</v>
      </c>
      <c r="F143" s="23" t="s">
        <v>352</v>
      </c>
    </row>
    <row r="144" spans="1:9">
      <c r="A144" s="34">
        <v>110</v>
      </c>
      <c r="B144" s="23" t="s">
        <v>1882</v>
      </c>
      <c r="C144" s="21" t="s">
        <v>2006</v>
      </c>
      <c r="D144" s="13">
        <v>3224</v>
      </c>
      <c r="F144" s="23" t="s">
        <v>352</v>
      </c>
    </row>
    <row r="145" spans="1:6">
      <c r="A145" s="34">
        <v>111</v>
      </c>
      <c r="B145" s="23" t="s">
        <v>842</v>
      </c>
      <c r="C145" s="21" t="s">
        <v>2007</v>
      </c>
      <c r="D145" s="13">
        <v>2947</v>
      </c>
      <c r="F145" s="23" t="s">
        <v>352</v>
      </c>
    </row>
    <row r="146" spans="1:6">
      <c r="A146" s="34">
        <v>112</v>
      </c>
      <c r="B146" s="23" t="s">
        <v>843</v>
      </c>
      <c r="C146" s="21" t="s">
        <v>2008</v>
      </c>
      <c r="D146" s="13">
        <v>3072</v>
      </c>
      <c r="F146" s="23" t="s">
        <v>2351</v>
      </c>
    </row>
    <row r="147" spans="1:6">
      <c r="A147" s="34">
        <v>113</v>
      </c>
      <c r="B147" s="23" t="s">
        <v>844</v>
      </c>
      <c r="C147" s="21" t="s">
        <v>2009</v>
      </c>
      <c r="D147" s="13">
        <v>3019</v>
      </c>
      <c r="F147" s="63" t="s">
        <v>2347</v>
      </c>
    </row>
    <row r="148" spans="1:6">
      <c r="A148" s="34">
        <v>114</v>
      </c>
      <c r="B148" s="23" t="s">
        <v>845</v>
      </c>
      <c r="C148" s="21" t="s">
        <v>2010</v>
      </c>
      <c r="D148" s="13">
        <v>2782</v>
      </c>
      <c r="F148" s="23" t="s">
        <v>352</v>
      </c>
    </row>
    <row r="149" spans="1:6">
      <c r="A149" s="34">
        <v>115</v>
      </c>
      <c r="B149" s="23" t="s">
        <v>846</v>
      </c>
      <c r="C149" s="21" t="s">
        <v>2011</v>
      </c>
      <c r="D149" s="13">
        <v>2903</v>
      </c>
      <c r="F149" s="23" t="s">
        <v>352</v>
      </c>
    </row>
    <row r="150" spans="1:6">
      <c r="A150" s="34">
        <v>116</v>
      </c>
      <c r="B150" s="32" t="s">
        <v>1894</v>
      </c>
      <c r="C150" s="21" t="s">
        <v>2012</v>
      </c>
      <c r="D150" s="13">
        <v>3594</v>
      </c>
      <c r="F150" s="32" t="s">
        <v>352</v>
      </c>
    </row>
    <row r="151" spans="1:6">
      <c r="A151" s="34">
        <v>117</v>
      </c>
      <c r="B151" s="23" t="s">
        <v>101</v>
      </c>
      <c r="C151" s="21" t="s">
        <v>2013</v>
      </c>
      <c r="D151" s="13">
        <v>3765</v>
      </c>
      <c r="F151" s="23" t="s">
        <v>2351</v>
      </c>
    </row>
    <row r="152" spans="1:6">
      <c r="A152" s="34">
        <v>118</v>
      </c>
      <c r="B152" s="23" t="s">
        <v>1895</v>
      </c>
      <c r="C152" s="21" t="s">
        <v>2014</v>
      </c>
      <c r="D152" s="13">
        <v>3368</v>
      </c>
      <c r="F152" s="23" t="s">
        <v>2351</v>
      </c>
    </row>
    <row r="153" spans="1:6">
      <c r="A153" s="34">
        <v>119</v>
      </c>
      <c r="B153" s="23" t="s">
        <v>102</v>
      </c>
      <c r="C153" s="21" t="s">
        <v>2015</v>
      </c>
      <c r="D153" s="13">
        <v>3460</v>
      </c>
      <c r="F153" s="23" t="s">
        <v>2351</v>
      </c>
    </row>
    <row r="154" spans="1:6">
      <c r="A154" s="34">
        <v>120</v>
      </c>
      <c r="B154" s="23" t="s">
        <v>103</v>
      </c>
      <c r="C154" s="21" t="s">
        <v>2016</v>
      </c>
      <c r="D154" s="13">
        <v>3445</v>
      </c>
      <c r="F154" s="23" t="s">
        <v>2351</v>
      </c>
    </row>
    <row r="155" spans="1:6">
      <c r="A155" s="34">
        <v>121</v>
      </c>
      <c r="B155" s="23" t="s">
        <v>847</v>
      </c>
      <c r="C155" s="21" t="s">
        <v>2017</v>
      </c>
      <c r="D155" s="13">
        <v>3022</v>
      </c>
      <c r="F155" s="23" t="s">
        <v>2350</v>
      </c>
    </row>
    <row r="156" spans="1:6">
      <c r="A156" s="34">
        <v>122</v>
      </c>
      <c r="B156" s="23" t="s">
        <v>848</v>
      </c>
      <c r="C156" s="21" t="s">
        <v>2018</v>
      </c>
      <c r="D156" s="13">
        <v>2815</v>
      </c>
      <c r="F156" s="23" t="s">
        <v>2350</v>
      </c>
    </row>
    <row r="157" spans="1:6">
      <c r="A157" s="34"/>
      <c r="B157" s="23"/>
      <c r="C157" s="23"/>
      <c r="F157" s="23"/>
    </row>
    <row r="158" spans="1:6">
      <c r="A158" s="63" t="s">
        <v>2349</v>
      </c>
      <c r="B158" s="23"/>
      <c r="C158" s="23"/>
      <c r="D158" s="30">
        <f>D40+D48+D61+SUM(D73:D75)+D110+D140+D147</f>
        <v>30431</v>
      </c>
      <c r="F158" s="23"/>
    </row>
    <row r="159" spans="1:6">
      <c r="A159" s="23" t="s">
        <v>2350</v>
      </c>
      <c r="B159" s="23"/>
      <c r="C159" s="23"/>
      <c r="D159" s="30">
        <f>SUM(D36:D38)+D41+D60+D71+D88+D89+D99+D100+D103+D116+SUM(D119:D123)+D126+D131+D137+D138+D155+D156</f>
        <v>72351</v>
      </c>
      <c r="F159" s="23"/>
    </row>
    <row r="160" spans="1:6">
      <c r="A160" s="23" t="s">
        <v>2352</v>
      </c>
      <c r="C160" s="23"/>
      <c r="D160" s="30">
        <f>SUM(D43:D47)+D49+D51+SUM(D53:D57)+D59+D69++D72+D85+D101+D102+D108+SUM(D113:D115)</f>
        <v>72184</v>
      </c>
      <c r="F160" s="23"/>
    </row>
    <row r="161" spans="1:9">
      <c r="A161" s="23" t="s">
        <v>352</v>
      </c>
      <c r="B161" s="23"/>
      <c r="C161" s="23"/>
      <c r="D161" s="30">
        <f>D35+D42+D63+SUM(D77:D82)+D84+D87+D112+D125+D128+D130+SUM(D141:D145)+SUM(D148:D150)</f>
        <v>71138</v>
      </c>
      <c r="F161" s="23"/>
    </row>
    <row r="162" spans="1:9" ht="15" customHeight="1">
      <c r="A162" s="23" t="s">
        <v>593</v>
      </c>
      <c r="D162" s="30">
        <f>D39+D52+D62+SUM(D64:D68)+D76+D83+D86+D91+D93+SUM(D104:D106)+D109+D124+SUM(D132:D135)</f>
        <v>72320</v>
      </c>
    </row>
    <row r="163" spans="1:9">
      <c r="A163" s="23" t="s">
        <v>2351</v>
      </c>
      <c r="D163" s="26">
        <f>D50+D58+D70+D90+D92+SUM(D94:D98)+D107+D111+D117+D118+D127+D129+D136+D139+D146+SUM(D151:D154)</f>
        <v>73799</v>
      </c>
    </row>
    <row r="165" spans="1:9">
      <c r="A165" s="23" t="s">
        <v>1896</v>
      </c>
      <c r="B165" s="23"/>
      <c r="C165" s="23"/>
    </row>
    <row r="166" spans="1:9">
      <c r="A166" s="34"/>
      <c r="B166" s="23"/>
      <c r="C166" s="23"/>
      <c r="D166" s="30"/>
      <c r="F166" s="23"/>
    </row>
    <row r="167" spans="1:9">
      <c r="A167" s="23"/>
      <c r="B167" s="23"/>
      <c r="C167" s="23"/>
      <c r="D167" s="37"/>
    </row>
    <row r="168" spans="1:9">
      <c r="A168" s="23"/>
      <c r="B168" s="23"/>
      <c r="C168" s="23"/>
      <c r="D168" s="37"/>
    </row>
    <row r="169" spans="1:9">
      <c r="D169" s="10" t="s">
        <v>285</v>
      </c>
      <c r="E169" s="5"/>
      <c r="F169" s="5" t="s">
        <v>1842</v>
      </c>
    </row>
    <row r="170" spans="1:9">
      <c r="D170" s="4">
        <v>2016</v>
      </c>
      <c r="F170" s="6" t="s">
        <v>286</v>
      </c>
    </row>
    <row r="171" spans="1:9">
      <c r="A171" s="23" t="s">
        <v>53</v>
      </c>
      <c r="C171" s="23"/>
      <c r="D171" s="26">
        <f>SUM(D172:D176)</f>
        <v>1651</v>
      </c>
    </row>
    <row r="172" spans="1:9">
      <c r="A172" s="23" t="s">
        <v>812</v>
      </c>
      <c r="B172" s="23" t="s">
        <v>588</v>
      </c>
      <c r="C172" s="1" t="s">
        <v>1349</v>
      </c>
      <c r="D172" s="13">
        <v>70</v>
      </c>
      <c r="F172" s="23" t="s">
        <v>353</v>
      </c>
      <c r="G172" s="1"/>
      <c r="I172" s="1"/>
    </row>
    <row r="173" spans="1:9">
      <c r="A173" s="23" t="s">
        <v>813</v>
      </c>
      <c r="B173" s="23" t="s">
        <v>589</v>
      </c>
      <c r="C173" s="1" t="s">
        <v>1350</v>
      </c>
      <c r="D173" s="13">
        <v>73</v>
      </c>
      <c r="F173" s="23" t="s">
        <v>353</v>
      </c>
      <c r="G173" s="1"/>
      <c r="I173" s="1"/>
    </row>
    <row r="174" spans="1:9">
      <c r="A174" s="23" t="s">
        <v>814</v>
      </c>
      <c r="B174" s="23" t="s">
        <v>590</v>
      </c>
      <c r="C174" s="1" t="s">
        <v>1351</v>
      </c>
      <c r="D174" s="13">
        <v>108</v>
      </c>
      <c r="F174" s="23" t="s">
        <v>353</v>
      </c>
      <c r="G174" s="1"/>
      <c r="I174" s="1"/>
    </row>
    <row r="175" spans="1:9">
      <c r="A175" s="23" t="s">
        <v>815</v>
      </c>
      <c r="B175" s="23" t="s">
        <v>591</v>
      </c>
      <c r="C175" s="1" t="s">
        <v>1352</v>
      </c>
      <c r="D175" s="13">
        <v>1306</v>
      </c>
      <c r="F175" s="23" t="s">
        <v>353</v>
      </c>
      <c r="G175" s="1"/>
      <c r="I175" s="1"/>
    </row>
    <row r="176" spans="1:9">
      <c r="A176" s="23" t="s">
        <v>816</v>
      </c>
      <c r="B176" s="23" t="s">
        <v>592</v>
      </c>
      <c r="C176" s="1" t="s">
        <v>1353</v>
      </c>
      <c r="D176" s="13">
        <v>94</v>
      </c>
      <c r="F176" s="23" t="s">
        <v>353</v>
      </c>
      <c r="G176" s="1"/>
      <c r="I176" s="1"/>
    </row>
    <row r="177" spans="1:4">
      <c r="D177" s="30"/>
    </row>
    <row r="178" spans="1:4">
      <c r="A178" s="23" t="s">
        <v>593</v>
      </c>
      <c r="D178" s="26">
        <f>SUM(D172:D176)</f>
        <v>1651</v>
      </c>
    </row>
    <row r="179" spans="1:4">
      <c r="A179" s="23"/>
      <c r="B179" s="23"/>
      <c r="C179" s="23"/>
      <c r="D179" s="37"/>
    </row>
    <row r="180" spans="1:4">
      <c r="A180" s="23"/>
      <c r="B180" s="23"/>
      <c r="C180" s="23"/>
      <c r="D180" s="37"/>
    </row>
    <row r="181" spans="1:4">
      <c r="D181" s="26"/>
    </row>
    <row r="182" spans="1:4" ht="14.25" customHeight="1">
      <c r="A182" s="23"/>
      <c r="D182" s="26"/>
    </row>
    <row r="183" spans="1:4" ht="14.25" customHeight="1">
      <c r="A183" s="23"/>
      <c r="D183" s="26"/>
    </row>
    <row r="184" spans="1:4" ht="15.75" customHeight="1">
      <c r="A184" s="23"/>
      <c r="B184" s="23"/>
      <c r="C184" s="23"/>
      <c r="D184" s="37"/>
    </row>
  </sheetData>
  <phoneticPr fontId="5" type="noConversion"/>
  <printOptions gridLinesSet="0"/>
  <pageMargins left="0.78740157480314965" right="0" top="0.51181102362204722" bottom="0.51181102362204722" header="0.51181102362204722" footer="0.51181102362204722"/>
  <pageSetup paperSize="9" scale="64" orientation="portrait" r:id="rId1"/>
  <headerFooter alignWithMargins="0">
    <oddFooter>&amp;C&amp;"Times New Roman,Regular"&amp;8&amp;P of &amp;N</oddFooter>
  </headerFooter>
  <rowBreaks count="3" manualBreakCount="3">
    <brk id="30" max="16383" man="1"/>
    <brk id="99" max="11" man="1"/>
    <brk id="167" max="16383" man="1"/>
  </rowBreaks>
  <ignoredErrors>
    <ignoredError sqref="D178 D171 D3:D6 D13:D14 D15:D16 D26 D24 D23 D25 D27 D17:D22 D163 D34" unlockedFormula="1"/>
    <ignoredError sqref="D158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0"/>
  <sheetViews>
    <sheetView showGridLines="0" zoomScaleNormal="100" workbookViewId="0"/>
  </sheetViews>
  <sheetFormatPr defaultColWidth="12.59765625" defaultRowHeight="14.5"/>
  <cols>
    <col min="1" max="1" width="4.8984375" style="463" customWidth="1"/>
    <col min="2" max="2" width="35.69921875" style="463" customWidth="1"/>
    <col min="3" max="3" width="11.59765625" style="463" customWidth="1"/>
    <col min="4" max="4" width="10" style="463" customWidth="1"/>
    <col min="5" max="5" width="2.296875" style="463" customWidth="1"/>
    <col min="6" max="6" width="24.8984375" style="463" customWidth="1"/>
    <col min="7" max="16384" width="12.59765625" style="463"/>
  </cols>
  <sheetData>
    <row r="1" spans="1:6">
      <c r="A1" s="446" t="s">
        <v>9176</v>
      </c>
      <c r="D1" s="464">
        <v>2016</v>
      </c>
    </row>
    <row r="3" spans="1:6">
      <c r="A3" s="446" t="s">
        <v>9498</v>
      </c>
      <c r="D3" s="465">
        <f t="shared" ref="D3" si="0">SUM(D24:D47)</f>
        <v>234188</v>
      </c>
    </row>
    <row r="5" spans="1:6">
      <c r="A5" s="439" t="s">
        <v>9358</v>
      </c>
      <c r="D5" s="466">
        <f>BROMLEY!D5</f>
        <v>64221</v>
      </c>
      <c r="F5" s="463" t="s">
        <v>9359</v>
      </c>
    </row>
    <row r="6" spans="1:6" ht="15" thickBot="1">
      <c r="D6" s="467">
        <f>D41</f>
        <v>10317</v>
      </c>
      <c r="F6" s="446" t="s">
        <v>9360</v>
      </c>
    </row>
    <row r="7" spans="1:6" ht="15" thickBot="1">
      <c r="D7" s="468">
        <f>D5+D6</f>
        <v>74538</v>
      </c>
      <c r="F7" s="446"/>
    </row>
    <row r="9" spans="1:6">
      <c r="A9" s="446" t="s">
        <v>9499</v>
      </c>
      <c r="D9" s="465">
        <f>D24+D25+D30+D27+D31+D37+D45</f>
        <v>72694</v>
      </c>
      <c r="F9" s="446" t="s">
        <v>9360</v>
      </c>
    </row>
    <row r="10" spans="1:6">
      <c r="D10" s="466"/>
    </row>
    <row r="11" spans="1:6">
      <c r="A11" s="446" t="s">
        <v>9362</v>
      </c>
      <c r="D11" s="466">
        <f>BROMLEY!D11</f>
        <v>7783</v>
      </c>
      <c r="F11" s="463" t="s">
        <v>9359</v>
      </c>
    </row>
    <row r="12" spans="1:6" ht="15" thickBot="1">
      <c r="D12" s="467">
        <f>D26+D39+SUM(D42:D44)+D46+D47</f>
        <v>70010</v>
      </c>
      <c r="F12" s="446" t="s">
        <v>9360</v>
      </c>
    </row>
    <row r="13" spans="1:6" ht="15" thickBot="1">
      <c r="A13" s="446"/>
      <c r="D13" s="468">
        <f>D11+D12</f>
        <v>77793</v>
      </c>
      <c r="F13" s="446"/>
    </row>
    <row r="14" spans="1:6">
      <c r="A14" s="446"/>
      <c r="D14" s="465"/>
      <c r="F14" s="446"/>
    </row>
    <row r="15" spans="1:6">
      <c r="A15" s="446" t="s">
        <v>9500</v>
      </c>
      <c r="D15" s="465">
        <f>D28+D29+SUM(D32:D35)+D38+D40</f>
        <v>71401</v>
      </c>
      <c r="F15" s="446" t="s">
        <v>9360</v>
      </c>
    </row>
    <row r="16" spans="1:6">
      <c r="A16" s="446"/>
      <c r="D16" s="465"/>
      <c r="F16" s="446"/>
    </row>
    <row r="17" spans="1:10">
      <c r="A17" s="469" t="s">
        <v>9501</v>
      </c>
      <c r="D17" s="465">
        <f>D36</f>
        <v>9766</v>
      </c>
      <c r="F17" s="446" t="s">
        <v>9360</v>
      </c>
    </row>
    <row r="18" spans="1:10">
      <c r="A18" s="446"/>
      <c r="D18" s="465">
        <f>LAMBETH!D24</f>
        <v>43394</v>
      </c>
      <c r="F18" s="446" t="s">
        <v>9502</v>
      </c>
    </row>
    <row r="19" spans="1:10" ht="15" thickBot="1">
      <c r="A19" s="446"/>
      <c r="D19" s="467">
        <f>MERTON!D9</f>
        <v>20765</v>
      </c>
      <c r="F19" s="446" t="s">
        <v>9503</v>
      </c>
    </row>
    <row r="20" spans="1:10" ht="15" thickBot="1">
      <c r="A20" s="446"/>
      <c r="D20" s="468">
        <f>SUM(D17:D19)</f>
        <v>73925</v>
      </c>
      <c r="F20" s="446"/>
    </row>
    <row r="21" spans="1:10">
      <c r="D21" s="466"/>
    </row>
    <row r="22" spans="1:10">
      <c r="A22" s="446" t="s">
        <v>1041</v>
      </c>
      <c r="D22" s="465">
        <f>D6+D9+D12+D15+D17</f>
        <v>234188</v>
      </c>
    </row>
    <row r="23" spans="1:10">
      <c r="D23" s="466"/>
    </row>
    <row r="24" spans="1:10">
      <c r="A24" s="446" t="s">
        <v>812</v>
      </c>
      <c r="B24" s="446" t="s">
        <v>9504</v>
      </c>
      <c r="C24" s="292" t="s">
        <v>9505</v>
      </c>
      <c r="D24" s="293">
        <v>10130</v>
      </c>
      <c r="F24" s="446" t="s">
        <v>9499</v>
      </c>
      <c r="H24" s="292"/>
      <c r="J24" s="292"/>
    </row>
    <row r="25" spans="1:10">
      <c r="A25" s="446" t="s">
        <v>813</v>
      </c>
      <c r="B25" s="446" t="s">
        <v>9506</v>
      </c>
      <c r="C25" s="292" t="s">
        <v>9507</v>
      </c>
      <c r="D25" s="293">
        <v>10117</v>
      </c>
      <c r="F25" s="446" t="s">
        <v>9499</v>
      </c>
      <c r="H25" s="292"/>
      <c r="J25" s="292"/>
    </row>
    <row r="26" spans="1:10">
      <c r="A26" s="446" t="s">
        <v>814</v>
      </c>
      <c r="B26" s="446" t="s">
        <v>9508</v>
      </c>
      <c r="C26" s="292" t="s">
        <v>9509</v>
      </c>
      <c r="D26" s="293">
        <v>9553</v>
      </c>
      <c r="F26" s="446" t="s">
        <v>9362</v>
      </c>
      <c r="H26" s="292"/>
      <c r="J26" s="292"/>
    </row>
    <row r="27" spans="1:10">
      <c r="A27" s="446" t="s">
        <v>815</v>
      </c>
      <c r="B27" s="446" t="s">
        <v>9510</v>
      </c>
      <c r="C27" s="292" t="s">
        <v>9511</v>
      </c>
      <c r="D27" s="293">
        <v>10859</v>
      </c>
      <c r="F27" s="446" t="s">
        <v>9499</v>
      </c>
      <c r="H27" s="292"/>
      <c r="J27" s="292"/>
    </row>
    <row r="28" spans="1:10">
      <c r="A28" s="446" t="s">
        <v>816</v>
      </c>
      <c r="B28" s="446" t="s">
        <v>9512</v>
      </c>
      <c r="C28" s="292" t="s">
        <v>9513</v>
      </c>
      <c r="D28" s="295">
        <v>9211</v>
      </c>
      <c r="F28" s="446" t="s">
        <v>9500</v>
      </c>
      <c r="H28" s="292"/>
      <c r="J28" s="292"/>
    </row>
    <row r="29" spans="1:10">
      <c r="A29" s="446" t="s">
        <v>826</v>
      </c>
      <c r="B29" s="446" t="s">
        <v>9514</v>
      </c>
      <c r="C29" s="292" t="s">
        <v>9515</v>
      </c>
      <c r="D29" s="295">
        <v>9900</v>
      </c>
      <c r="F29" s="446" t="s">
        <v>9500</v>
      </c>
      <c r="H29" s="292"/>
      <c r="J29" s="292"/>
    </row>
    <row r="30" spans="1:10">
      <c r="A30" s="446" t="s">
        <v>827</v>
      </c>
      <c r="B30" s="446" t="s">
        <v>9516</v>
      </c>
      <c r="C30" s="292" t="s">
        <v>9517</v>
      </c>
      <c r="D30" s="295">
        <v>10122</v>
      </c>
      <c r="F30" s="446" t="s">
        <v>9499</v>
      </c>
      <c r="H30" s="292"/>
      <c r="J30" s="292"/>
    </row>
    <row r="31" spans="1:10">
      <c r="A31" s="446" t="s">
        <v>828</v>
      </c>
      <c r="B31" s="446" t="s">
        <v>6158</v>
      </c>
      <c r="C31" s="292" t="s">
        <v>9518</v>
      </c>
      <c r="D31" s="293">
        <v>10688</v>
      </c>
      <c r="F31" s="446" t="s">
        <v>9499</v>
      </c>
      <c r="H31" s="292"/>
      <c r="J31" s="292"/>
    </row>
    <row r="32" spans="1:10">
      <c r="A32" s="446" t="s">
        <v>829</v>
      </c>
      <c r="B32" s="446" t="s">
        <v>9519</v>
      </c>
      <c r="C32" s="292" t="s">
        <v>9520</v>
      </c>
      <c r="D32" s="293">
        <v>6787</v>
      </c>
      <c r="F32" s="446" t="s">
        <v>9500</v>
      </c>
      <c r="H32" s="292"/>
      <c r="J32" s="292"/>
    </row>
    <row r="33" spans="1:10">
      <c r="A33" s="446" t="s">
        <v>830</v>
      </c>
      <c r="B33" s="446" t="s">
        <v>9521</v>
      </c>
      <c r="C33" s="292" t="s">
        <v>9522</v>
      </c>
      <c r="D33" s="293">
        <v>9497</v>
      </c>
      <c r="F33" s="446" t="s">
        <v>9500</v>
      </c>
      <c r="H33" s="292"/>
      <c r="J33" s="292"/>
    </row>
    <row r="34" spans="1:10">
      <c r="A34" s="446" t="s">
        <v>831</v>
      </c>
      <c r="B34" s="446" t="s">
        <v>9523</v>
      </c>
      <c r="C34" s="292" t="s">
        <v>9524</v>
      </c>
      <c r="D34" s="295">
        <v>10381</v>
      </c>
      <c r="F34" s="446" t="s">
        <v>9500</v>
      </c>
      <c r="H34" s="292"/>
      <c r="J34" s="292"/>
    </row>
    <row r="35" spans="1:10">
      <c r="A35" s="446" t="s">
        <v>832</v>
      </c>
      <c r="B35" s="446" t="s">
        <v>9525</v>
      </c>
      <c r="C35" s="292" t="s">
        <v>9526</v>
      </c>
      <c r="D35" s="293">
        <v>6923</v>
      </c>
      <c r="F35" s="446" t="s">
        <v>9500</v>
      </c>
      <c r="H35" s="292"/>
      <c r="J35" s="292"/>
    </row>
    <row r="36" spans="1:10">
      <c r="A36" s="446" t="s">
        <v>833</v>
      </c>
      <c r="B36" s="446" t="s">
        <v>4324</v>
      </c>
      <c r="C36" s="292" t="s">
        <v>9527</v>
      </c>
      <c r="D36" s="293">
        <v>9766</v>
      </c>
      <c r="F36" s="469" t="s">
        <v>9501</v>
      </c>
      <c r="H36" s="292"/>
      <c r="J36" s="292"/>
    </row>
    <row r="37" spans="1:10">
      <c r="A37" s="446" t="s">
        <v>834</v>
      </c>
      <c r="B37" s="446" t="s">
        <v>9528</v>
      </c>
      <c r="C37" s="292" t="s">
        <v>9529</v>
      </c>
      <c r="D37" s="295">
        <v>10251</v>
      </c>
      <c r="F37" s="446" t="s">
        <v>9499</v>
      </c>
      <c r="H37" s="292"/>
      <c r="J37" s="292"/>
    </row>
    <row r="38" spans="1:10">
      <c r="A38" s="446" t="s">
        <v>835</v>
      </c>
      <c r="B38" s="446" t="s">
        <v>9530</v>
      </c>
      <c r="C38" s="292" t="s">
        <v>9531</v>
      </c>
      <c r="D38" s="295">
        <v>9617</v>
      </c>
      <c r="F38" s="446" t="s">
        <v>9500</v>
      </c>
      <c r="H38" s="292"/>
      <c r="J38" s="292"/>
    </row>
    <row r="39" spans="1:10">
      <c r="A39" s="446" t="s">
        <v>836</v>
      </c>
      <c r="B39" s="446" t="s">
        <v>9532</v>
      </c>
      <c r="C39" s="292" t="s">
        <v>9533</v>
      </c>
      <c r="D39" s="293">
        <v>10293</v>
      </c>
      <c r="F39" s="446" t="s">
        <v>9362</v>
      </c>
      <c r="H39" s="292"/>
      <c r="J39" s="292"/>
    </row>
    <row r="40" spans="1:10">
      <c r="A40" s="446" t="s">
        <v>837</v>
      </c>
      <c r="B40" s="446" t="s">
        <v>9534</v>
      </c>
      <c r="C40" s="292" t="s">
        <v>9535</v>
      </c>
      <c r="D40" s="295">
        <v>9085</v>
      </c>
      <c r="F40" s="446" t="s">
        <v>9500</v>
      </c>
      <c r="H40" s="292"/>
      <c r="J40" s="292"/>
    </row>
    <row r="41" spans="1:10">
      <c r="A41" s="446" t="s">
        <v>838</v>
      </c>
      <c r="B41" s="446" t="s">
        <v>9536</v>
      </c>
      <c r="C41" s="292" t="s">
        <v>9537</v>
      </c>
      <c r="D41" s="293">
        <v>10317</v>
      </c>
      <c r="F41" s="439" t="s">
        <v>9358</v>
      </c>
      <c r="H41" s="292"/>
      <c r="J41" s="292"/>
    </row>
    <row r="42" spans="1:10">
      <c r="A42" s="446" t="s">
        <v>840</v>
      </c>
      <c r="B42" s="446" t="s">
        <v>9538</v>
      </c>
      <c r="C42" s="292" t="s">
        <v>9539</v>
      </c>
      <c r="D42" s="293">
        <v>10268</v>
      </c>
      <c r="F42" s="446" t="s">
        <v>9362</v>
      </c>
      <c r="H42" s="292"/>
      <c r="J42" s="292"/>
    </row>
    <row r="43" spans="1:10">
      <c r="A43" s="446" t="s">
        <v>841</v>
      </c>
      <c r="B43" s="446" t="s">
        <v>9540</v>
      </c>
      <c r="C43" s="292" t="s">
        <v>9541</v>
      </c>
      <c r="D43" s="293">
        <v>9557</v>
      </c>
      <c r="F43" s="446" t="s">
        <v>9362</v>
      </c>
      <c r="H43" s="292"/>
      <c r="J43" s="292"/>
    </row>
    <row r="44" spans="1:10">
      <c r="A44" s="446" t="s">
        <v>878</v>
      </c>
      <c r="B44" s="446" t="s">
        <v>9542</v>
      </c>
      <c r="C44" s="292" t="s">
        <v>9543</v>
      </c>
      <c r="D44" s="293">
        <v>10068</v>
      </c>
      <c r="F44" s="446" t="s">
        <v>9362</v>
      </c>
      <c r="H44" s="292"/>
      <c r="J44" s="292"/>
    </row>
    <row r="45" spans="1:10">
      <c r="A45" s="446" t="s">
        <v>879</v>
      </c>
      <c r="B45" s="446" t="s">
        <v>9544</v>
      </c>
      <c r="C45" s="292" t="s">
        <v>9545</v>
      </c>
      <c r="D45" s="295">
        <v>10527</v>
      </c>
      <c r="F45" s="446" t="s">
        <v>9499</v>
      </c>
      <c r="H45" s="292"/>
      <c r="J45" s="292"/>
    </row>
    <row r="46" spans="1:10">
      <c r="A46" s="446" t="s">
        <v>880</v>
      </c>
      <c r="B46" s="446" t="s">
        <v>9546</v>
      </c>
      <c r="C46" s="292" t="s">
        <v>9547</v>
      </c>
      <c r="D46" s="295">
        <v>10159</v>
      </c>
      <c r="F46" s="446" t="s">
        <v>9362</v>
      </c>
      <c r="H46" s="292"/>
      <c r="J46" s="292"/>
    </row>
    <row r="47" spans="1:10">
      <c r="A47" s="446" t="s">
        <v>721</v>
      </c>
      <c r="B47" s="446" t="s">
        <v>2691</v>
      </c>
      <c r="C47" s="292" t="s">
        <v>9548</v>
      </c>
      <c r="D47" s="293">
        <v>10112</v>
      </c>
      <c r="F47" s="446" t="s">
        <v>9362</v>
      </c>
      <c r="H47" s="292"/>
      <c r="J47" s="292"/>
    </row>
    <row r="49" spans="1:1">
      <c r="A49" s="446" t="s">
        <v>9549</v>
      </c>
    </row>
    <row r="50" spans="1:1">
      <c r="A50" s="470"/>
    </row>
  </sheetData>
  <printOptions gridLinesSet="0"/>
  <pageMargins left="0.78740157480314965" right="0" top="0.51181102362204722" bottom="0.51181102362204722" header="0.51181102362204722" footer="0.51181102362204722"/>
  <pageSetup paperSize="9" scale="75" orientation="portrait" horizontalDpi="300" verticalDpi="300" r:id="rId1"/>
  <headerFooter alignWithMargins="0">
    <oddFooter>&amp;C&amp;"Times New Roman,Regular"&amp;8&amp;P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55"/>
  <sheetViews>
    <sheetView showGridLines="0" zoomScaleNormal="100" workbookViewId="0"/>
  </sheetViews>
  <sheetFormatPr defaultColWidth="12.59765625" defaultRowHeight="14.5"/>
  <cols>
    <col min="1" max="1" width="4.8984375" style="700" customWidth="1"/>
    <col min="2" max="2" width="40.69921875" style="700" customWidth="1"/>
    <col min="3" max="3" width="11.69921875" style="700" customWidth="1"/>
    <col min="4" max="4" width="10" style="700" customWidth="1"/>
    <col min="5" max="5" width="2.296875" style="700" customWidth="1"/>
    <col min="6" max="6" width="31.5" style="700" customWidth="1"/>
    <col min="7" max="16384" width="12.59765625" style="700"/>
  </cols>
  <sheetData>
    <row r="1" spans="1:6">
      <c r="A1" s="699" t="s">
        <v>1075</v>
      </c>
      <c r="D1" s="701">
        <v>2016</v>
      </c>
    </row>
    <row r="3" spans="1:6">
      <c r="A3" s="699" t="s">
        <v>11662</v>
      </c>
      <c r="D3" s="702">
        <f t="shared" ref="D3" si="0">SUM(D5:D10)</f>
        <v>373997</v>
      </c>
    </row>
    <row r="4" spans="1:6">
      <c r="D4" s="703"/>
    </row>
    <row r="5" spans="1:6">
      <c r="A5" s="699" t="s">
        <v>11992</v>
      </c>
      <c r="C5" s="699"/>
      <c r="D5" s="702">
        <f t="shared" ref="D5" si="1">D36</f>
        <v>72052</v>
      </c>
      <c r="F5" s="704"/>
    </row>
    <row r="6" spans="1:6">
      <c r="A6" s="699" t="s">
        <v>11993</v>
      </c>
      <c r="C6" s="699"/>
      <c r="D6" s="702">
        <f t="shared" ref="D6" si="2">D77</f>
        <v>52499</v>
      </c>
      <c r="F6" s="704"/>
    </row>
    <row r="7" spans="1:6">
      <c r="A7" s="699" t="s">
        <v>11994</v>
      </c>
      <c r="C7" s="699"/>
      <c r="D7" s="702">
        <f t="shared" ref="D7" si="3">D99</f>
        <v>76825</v>
      </c>
      <c r="F7" s="704"/>
    </row>
    <row r="8" spans="1:6">
      <c r="A8" s="699" t="s">
        <v>11995</v>
      </c>
      <c r="C8" s="699"/>
      <c r="D8" s="702">
        <f t="shared" ref="D8" si="4">D130</f>
        <v>53024</v>
      </c>
      <c r="F8" s="704"/>
    </row>
    <row r="9" spans="1:6">
      <c r="A9" s="699" t="s">
        <v>11996</v>
      </c>
      <c r="C9" s="699"/>
      <c r="D9" s="702">
        <f t="shared" ref="D9" si="5">D165</f>
        <v>40434</v>
      </c>
      <c r="F9" s="704"/>
    </row>
    <row r="10" spans="1:6">
      <c r="A10" s="699" t="s">
        <v>11997</v>
      </c>
      <c r="C10" s="699"/>
      <c r="D10" s="702">
        <f t="shared" ref="D10" si="6">D205</f>
        <v>79163</v>
      </c>
      <c r="F10" s="704"/>
    </row>
    <row r="12" spans="1:6">
      <c r="A12" s="699" t="s">
        <v>11998</v>
      </c>
      <c r="D12" s="702">
        <f t="shared" ref="D12" si="7">D92</f>
        <v>52499</v>
      </c>
      <c r="F12" s="699" t="s">
        <v>11657</v>
      </c>
    </row>
    <row r="13" spans="1:6">
      <c r="A13" s="699"/>
      <c r="D13" s="702">
        <f>D157</f>
        <v>7704</v>
      </c>
      <c r="F13" s="699" t="s">
        <v>11999</v>
      </c>
    </row>
    <row r="14" spans="1:6" ht="15" thickBot="1">
      <c r="D14" s="705">
        <f t="shared" ref="D14" si="8">D252</f>
        <v>15075</v>
      </c>
      <c r="F14" s="699" t="s">
        <v>12000</v>
      </c>
    </row>
    <row r="15" spans="1:6" ht="15" thickBot="1">
      <c r="D15" s="705">
        <f>SUM(D12:D14)</f>
        <v>75278</v>
      </c>
    </row>
    <row r="16" spans="1:6">
      <c r="D16" s="703"/>
    </row>
    <row r="17" spans="1:6">
      <c r="A17" s="699" t="s">
        <v>12001</v>
      </c>
      <c r="D17" s="702">
        <f t="shared" ref="D17" si="9">D123</f>
        <v>76825</v>
      </c>
      <c r="F17" s="699" t="s">
        <v>11658</v>
      </c>
    </row>
    <row r="18" spans="1:6">
      <c r="D18" s="703"/>
    </row>
    <row r="19" spans="1:6">
      <c r="A19" s="699" t="s">
        <v>12002</v>
      </c>
      <c r="D19" s="702">
        <f t="shared" ref="D19" si="10">D69</f>
        <v>40133</v>
      </c>
      <c r="F19" s="699" t="s">
        <v>12003</v>
      </c>
    </row>
    <row r="20" spans="1:6" ht="15" thickBot="1">
      <c r="D20" s="705">
        <f t="shared" ref="D20" si="11">D197</f>
        <v>32151</v>
      </c>
      <c r="F20" s="699" t="s">
        <v>12004</v>
      </c>
    </row>
    <row r="21" spans="1:6" ht="15" thickBot="1">
      <c r="D21" s="706">
        <f>D19+D20</f>
        <v>72284</v>
      </c>
    </row>
    <row r="22" spans="1:6">
      <c r="D22" s="703"/>
    </row>
    <row r="23" spans="1:6">
      <c r="A23" s="699" t="s">
        <v>12005</v>
      </c>
      <c r="D23" s="703">
        <f>D198</f>
        <v>8283</v>
      </c>
      <c r="F23" s="699" t="s">
        <v>12004</v>
      </c>
    </row>
    <row r="24" spans="1:6" ht="15" thickBot="1">
      <c r="D24" s="702">
        <f t="shared" ref="D24" si="12">D253</f>
        <v>64088</v>
      </c>
      <c r="F24" s="699" t="s">
        <v>12000</v>
      </c>
    </row>
    <row r="25" spans="1:6" ht="15" thickBot="1">
      <c r="A25" s="699"/>
      <c r="D25" s="706">
        <f>D23+D24</f>
        <v>72371</v>
      </c>
      <c r="F25" s="699"/>
    </row>
    <row r="26" spans="1:6">
      <c r="D26" s="703"/>
    </row>
    <row r="27" spans="1:6">
      <c r="A27" s="699" t="s">
        <v>12006</v>
      </c>
      <c r="D27" s="702">
        <f t="shared" ref="D27" si="13">D70</f>
        <v>31919</v>
      </c>
      <c r="F27" s="699" t="s">
        <v>12003</v>
      </c>
    </row>
    <row r="28" spans="1:6" ht="15" thickBot="1">
      <c r="A28" s="699"/>
      <c r="D28" s="702">
        <f>D158</f>
        <v>45320</v>
      </c>
      <c r="F28" s="699" t="s">
        <v>11999</v>
      </c>
    </row>
    <row r="29" spans="1:6" ht="15" thickBot="1">
      <c r="A29" s="699"/>
      <c r="D29" s="706">
        <f>D27+D28</f>
        <v>77239</v>
      </c>
      <c r="F29" s="699"/>
    </row>
    <row r="30" spans="1:6">
      <c r="D30" s="703"/>
    </row>
    <row r="31" spans="1:6">
      <c r="A31" s="699" t="s">
        <v>1041</v>
      </c>
      <c r="D31" s="702">
        <f>D15+D17+D21+D25+D29</f>
        <v>373997</v>
      </c>
    </row>
    <row r="32" spans="1:6">
      <c r="D32" s="703"/>
    </row>
    <row r="33" spans="1:9">
      <c r="A33" s="699"/>
      <c r="D33" s="707"/>
    </row>
    <row r="34" spans="1:9">
      <c r="D34" s="10" t="s">
        <v>285</v>
      </c>
      <c r="E34" s="249"/>
      <c r="F34" s="38" t="s">
        <v>4116</v>
      </c>
    </row>
    <row r="35" spans="1:9">
      <c r="D35" s="39">
        <v>2016</v>
      </c>
      <c r="E35" s="40"/>
      <c r="F35" s="41" t="s">
        <v>286</v>
      </c>
    </row>
    <row r="36" spans="1:9">
      <c r="A36" s="699" t="s">
        <v>12007</v>
      </c>
      <c r="C36" s="699"/>
      <c r="D36" s="702">
        <f t="shared" ref="D36" si="14">SUM(D37:D65)+D66+D67</f>
        <v>72052</v>
      </c>
    </row>
    <row r="37" spans="1:9">
      <c r="A37" s="708">
        <v>1</v>
      </c>
      <c r="B37" s="699" t="s">
        <v>601</v>
      </c>
      <c r="C37" s="1" t="s">
        <v>12008</v>
      </c>
      <c r="D37" s="13">
        <v>3680</v>
      </c>
      <c r="F37" s="699" t="s">
        <v>12002</v>
      </c>
      <c r="G37" s="1"/>
      <c r="I37" s="1"/>
    </row>
    <row r="38" spans="1:9">
      <c r="A38" s="708">
        <v>2</v>
      </c>
      <c r="B38" s="699" t="s">
        <v>12009</v>
      </c>
      <c r="C38" s="1" t="s">
        <v>12010</v>
      </c>
      <c r="D38" s="13">
        <v>2465</v>
      </c>
      <c r="F38" s="699" t="s">
        <v>12002</v>
      </c>
      <c r="G38" s="1"/>
      <c r="I38" s="1"/>
    </row>
    <row r="39" spans="1:9">
      <c r="A39" s="708">
        <v>3</v>
      </c>
      <c r="B39" s="699" t="s">
        <v>12011</v>
      </c>
      <c r="C39" s="1" t="s">
        <v>12012</v>
      </c>
      <c r="D39" s="13">
        <v>1358</v>
      </c>
      <c r="F39" s="699" t="s">
        <v>12002</v>
      </c>
      <c r="G39" s="1"/>
      <c r="I39" s="1"/>
    </row>
    <row r="40" spans="1:9">
      <c r="A40" s="708">
        <v>4</v>
      </c>
      <c r="B40" s="699" t="s">
        <v>12013</v>
      </c>
      <c r="C40" s="1" t="s">
        <v>12014</v>
      </c>
      <c r="D40" s="13">
        <v>2984</v>
      </c>
      <c r="F40" s="699" t="s">
        <v>12002</v>
      </c>
      <c r="G40" s="1"/>
      <c r="I40" s="1"/>
    </row>
    <row r="41" spans="1:9">
      <c r="A41" s="708">
        <v>5</v>
      </c>
      <c r="B41" s="700" t="s">
        <v>617</v>
      </c>
      <c r="C41" s="1" t="s">
        <v>12015</v>
      </c>
      <c r="D41" s="13">
        <v>3033</v>
      </c>
      <c r="F41" s="699" t="s">
        <v>12002</v>
      </c>
      <c r="G41" s="1"/>
      <c r="I41" s="1"/>
    </row>
    <row r="42" spans="1:9">
      <c r="A42" s="708">
        <v>6</v>
      </c>
      <c r="B42" s="699" t="s">
        <v>949</v>
      </c>
      <c r="C42" s="1" t="s">
        <v>12016</v>
      </c>
      <c r="D42" s="13">
        <v>1237</v>
      </c>
      <c r="F42" s="699" t="s">
        <v>12006</v>
      </c>
      <c r="G42" s="1"/>
      <c r="I42" s="1"/>
    </row>
    <row r="43" spans="1:9">
      <c r="A43" s="708">
        <v>7</v>
      </c>
      <c r="B43" s="699" t="s">
        <v>12017</v>
      </c>
      <c r="C43" s="1" t="s">
        <v>12018</v>
      </c>
      <c r="D43" s="13">
        <v>1211</v>
      </c>
      <c r="F43" s="699" t="s">
        <v>12002</v>
      </c>
      <c r="G43" s="1"/>
      <c r="I43" s="1"/>
    </row>
    <row r="44" spans="1:9">
      <c r="A44" s="708">
        <v>8</v>
      </c>
      <c r="B44" s="699" t="s">
        <v>11508</v>
      </c>
      <c r="C44" s="1" t="s">
        <v>12019</v>
      </c>
      <c r="D44" s="13">
        <v>1427</v>
      </c>
      <c r="F44" s="699" t="s">
        <v>12002</v>
      </c>
      <c r="G44" s="1"/>
      <c r="I44" s="1"/>
    </row>
    <row r="45" spans="1:9">
      <c r="A45" s="708">
        <v>9</v>
      </c>
      <c r="B45" s="699" t="s">
        <v>11079</v>
      </c>
      <c r="C45" s="1" t="s">
        <v>12020</v>
      </c>
      <c r="D45" s="13">
        <v>1152</v>
      </c>
      <c r="F45" s="699" t="s">
        <v>12002</v>
      </c>
      <c r="G45" s="1"/>
      <c r="I45" s="1"/>
    </row>
    <row r="46" spans="1:9">
      <c r="A46" s="708">
        <v>10</v>
      </c>
      <c r="B46" s="699" t="s">
        <v>12021</v>
      </c>
      <c r="C46" s="1" t="s">
        <v>12022</v>
      </c>
      <c r="D46" s="13">
        <v>2558</v>
      </c>
      <c r="F46" s="699" t="s">
        <v>12002</v>
      </c>
      <c r="G46" s="1"/>
      <c r="I46" s="1"/>
    </row>
    <row r="47" spans="1:9">
      <c r="A47" s="708">
        <v>11</v>
      </c>
      <c r="B47" s="699" t="s">
        <v>12023</v>
      </c>
      <c r="C47" s="1" t="s">
        <v>12024</v>
      </c>
      <c r="D47" s="13">
        <v>2760</v>
      </c>
      <c r="F47" s="699" t="s">
        <v>12006</v>
      </c>
      <c r="G47" s="1"/>
      <c r="I47" s="1"/>
    </row>
    <row r="48" spans="1:9">
      <c r="A48" s="708">
        <v>12</v>
      </c>
      <c r="B48" s="699" t="s">
        <v>12025</v>
      </c>
      <c r="C48" s="1" t="s">
        <v>12026</v>
      </c>
      <c r="D48" s="13">
        <v>2289</v>
      </c>
      <c r="F48" s="699" t="s">
        <v>12006</v>
      </c>
      <c r="G48" s="1"/>
      <c r="I48" s="1"/>
    </row>
    <row r="49" spans="1:9">
      <c r="A49" s="708">
        <v>13</v>
      </c>
      <c r="B49" s="699" t="s">
        <v>12027</v>
      </c>
      <c r="C49" s="1" t="s">
        <v>12028</v>
      </c>
      <c r="D49" s="13">
        <v>1295</v>
      </c>
      <c r="F49" s="699" t="s">
        <v>12006</v>
      </c>
      <c r="G49" s="1"/>
      <c r="I49" s="1"/>
    </row>
    <row r="50" spans="1:9">
      <c r="A50" s="708">
        <v>14</v>
      </c>
      <c r="B50" s="699" t="s">
        <v>12029</v>
      </c>
      <c r="C50" s="1" t="s">
        <v>12030</v>
      </c>
      <c r="D50" s="13">
        <v>2512</v>
      </c>
      <c r="F50" s="699" t="s">
        <v>12006</v>
      </c>
      <c r="G50" s="1"/>
      <c r="I50" s="1"/>
    </row>
    <row r="51" spans="1:9">
      <c r="A51" s="708">
        <v>15</v>
      </c>
      <c r="B51" s="700" t="s">
        <v>12031</v>
      </c>
      <c r="C51" s="1" t="s">
        <v>12032</v>
      </c>
      <c r="D51" s="13">
        <v>1226</v>
      </c>
      <c r="F51" s="699" t="s">
        <v>12002</v>
      </c>
      <c r="G51" s="1"/>
      <c r="I51" s="1"/>
    </row>
    <row r="52" spans="1:9">
      <c r="A52" s="708">
        <v>16</v>
      </c>
      <c r="B52" s="699" t="s">
        <v>12033</v>
      </c>
      <c r="C52" s="1" t="s">
        <v>12034</v>
      </c>
      <c r="D52" s="13">
        <v>3971</v>
      </c>
      <c r="F52" s="699" t="s">
        <v>12002</v>
      </c>
      <c r="G52" s="1"/>
      <c r="I52" s="1"/>
    </row>
    <row r="53" spans="1:9">
      <c r="A53" s="708">
        <v>17</v>
      </c>
      <c r="B53" s="699" t="s">
        <v>12035</v>
      </c>
      <c r="C53" s="1" t="s">
        <v>12036</v>
      </c>
      <c r="D53" s="13">
        <v>1284</v>
      </c>
      <c r="F53" s="699" t="s">
        <v>12002</v>
      </c>
      <c r="G53" s="1"/>
      <c r="I53" s="1"/>
    </row>
    <row r="54" spans="1:9">
      <c r="A54" s="708">
        <v>18</v>
      </c>
      <c r="B54" s="699" t="s">
        <v>12037</v>
      </c>
      <c r="C54" s="1" t="s">
        <v>12038</v>
      </c>
      <c r="D54" s="13">
        <v>3304</v>
      </c>
      <c r="F54" s="699" t="s">
        <v>12006</v>
      </c>
      <c r="G54" s="1"/>
      <c r="I54" s="1"/>
    </row>
    <row r="55" spans="1:9">
      <c r="A55" s="708">
        <v>19</v>
      </c>
      <c r="B55" s="700" t="s">
        <v>12039</v>
      </c>
      <c r="C55" s="1" t="s">
        <v>12040</v>
      </c>
      <c r="D55" s="13">
        <v>3210</v>
      </c>
      <c r="F55" s="699" t="s">
        <v>12006</v>
      </c>
      <c r="G55" s="1"/>
      <c r="I55" s="1"/>
    </row>
    <row r="56" spans="1:9">
      <c r="A56" s="708">
        <v>20</v>
      </c>
      <c r="B56" s="699" t="s">
        <v>12041</v>
      </c>
      <c r="C56" s="1" t="s">
        <v>12042</v>
      </c>
      <c r="D56" s="13">
        <v>2210</v>
      </c>
      <c r="F56" s="699" t="s">
        <v>12006</v>
      </c>
      <c r="G56" s="1"/>
      <c r="I56" s="1"/>
    </row>
    <row r="57" spans="1:9">
      <c r="A57" s="708">
        <v>21</v>
      </c>
      <c r="B57" s="699" t="s">
        <v>2912</v>
      </c>
      <c r="C57" s="1" t="s">
        <v>12043</v>
      </c>
      <c r="D57" s="13">
        <v>4257</v>
      </c>
      <c r="F57" s="699" t="s">
        <v>12006</v>
      </c>
      <c r="G57" s="1"/>
      <c r="I57" s="1"/>
    </row>
    <row r="58" spans="1:9">
      <c r="A58" s="708">
        <v>22</v>
      </c>
      <c r="B58" s="699" t="s">
        <v>1074</v>
      </c>
      <c r="C58" s="1" t="s">
        <v>12044</v>
      </c>
      <c r="D58" s="13">
        <v>3506</v>
      </c>
      <c r="F58" s="699" t="s">
        <v>12006</v>
      </c>
      <c r="G58" s="1"/>
      <c r="I58" s="1"/>
    </row>
    <row r="59" spans="1:9">
      <c r="A59" s="708">
        <v>23</v>
      </c>
      <c r="B59" s="699" t="s">
        <v>746</v>
      </c>
      <c r="C59" s="1" t="s">
        <v>12045</v>
      </c>
      <c r="D59" s="13">
        <v>3908</v>
      </c>
      <c r="F59" s="699" t="s">
        <v>12006</v>
      </c>
      <c r="G59" s="1"/>
      <c r="I59" s="1"/>
    </row>
    <row r="60" spans="1:9">
      <c r="A60" s="708">
        <v>24</v>
      </c>
      <c r="B60" s="699" t="s">
        <v>12046</v>
      </c>
      <c r="C60" s="1" t="s">
        <v>12047</v>
      </c>
      <c r="D60" s="13">
        <v>2541</v>
      </c>
      <c r="F60" s="699" t="s">
        <v>12002</v>
      </c>
      <c r="G60" s="1"/>
      <c r="I60" s="1"/>
    </row>
    <row r="61" spans="1:9">
      <c r="A61" s="708">
        <v>25</v>
      </c>
      <c r="B61" s="699" t="s">
        <v>12048</v>
      </c>
      <c r="C61" s="1" t="s">
        <v>12049</v>
      </c>
      <c r="D61" s="13">
        <v>1270</v>
      </c>
      <c r="F61" s="699" t="s">
        <v>12002</v>
      </c>
      <c r="G61" s="1"/>
      <c r="I61" s="1"/>
    </row>
    <row r="62" spans="1:9">
      <c r="A62" s="708">
        <v>26</v>
      </c>
      <c r="B62" s="699" t="s">
        <v>12050</v>
      </c>
      <c r="C62" s="1" t="s">
        <v>12051</v>
      </c>
      <c r="D62" s="13">
        <v>1431</v>
      </c>
      <c r="F62" s="699" t="s">
        <v>12006</v>
      </c>
      <c r="G62" s="1"/>
      <c r="I62" s="1"/>
    </row>
    <row r="63" spans="1:9">
      <c r="A63" s="708">
        <v>27</v>
      </c>
      <c r="B63" s="699" t="s">
        <v>12052</v>
      </c>
      <c r="C63" s="1" t="s">
        <v>12053</v>
      </c>
      <c r="D63" s="13">
        <v>1350</v>
      </c>
      <c r="F63" s="699" t="s">
        <v>12002</v>
      </c>
      <c r="G63" s="1"/>
      <c r="I63" s="1"/>
    </row>
    <row r="64" spans="1:9">
      <c r="A64" s="708">
        <v>28</v>
      </c>
      <c r="B64" s="699" t="s">
        <v>12054</v>
      </c>
      <c r="C64" s="1" t="s">
        <v>12055</v>
      </c>
      <c r="D64" s="13">
        <v>1568</v>
      </c>
      <c r="F64" s="699" t="s">
        <v>12002</v>
      </c>
      <c r="G64" s="1"/>
      <c r="I64" s="1"/>
    </row>
    <row r="65" spans="1:9">
      <c r="A65" s="708">
        <v>29</v>
      </c>
      <c r="B65" s="699" t="s">
        <v>12056</v>
      </c>
      <c r="C65" s="1" t="s">
        <v>12057</v>
      </c>
      <c r="D65" s="13">
        <v>1471</v>
      </c>
      <c r="F65" s="699" t="s">
        <v>12002</v>
      </c>
      <c r="G65" s="1"/>
      <c r="I65" s="1"/>
    </row>
    <row r="66" spans="1:9">
      <c r="A66" s="708">
        <v>30</v>
      </c>
      <c r="B66" s="699" t="s">
        <v>12058</v>
      </c>
      <c r="C66" s="1" t="s">
        <v>12059</v>
      </c>
      <c r="D66" s="13">
        <v>1228</v>
      </c>
      <c r="F66" s="699" t="s">
        <v>12002</v>
      </c>
      <c r="G66" s="1"/>
      <c r="I66" s="1"/>
    </row>
    <row r="67" spans="1:9">
      <c r="A67" s="708">
        <v>31</v>
      </c>
      <c r="B67" s="699" t="s">
        <v>12060</v>
      </c>
      <c r="C67" s="1" t="s">
        <v>12061</v>
      </c>
      <c r="D67" s="13">
        <v>4356</v>
      </c>
      <c r="F67" s="699" t="s">
        <v>12002</v>
      </c>
      <c r="G67" s="1"/>
      <c r="I67" s="1"/>
    </row>
    <row r="68" spans="1:9">
      <c r="A68" s="708"/>
      <c r="D68" s="703"/>
      <c r="F68" s="699"/>
    </row>
    <row r="69" spans="1:9">
      <c r="A69" s="699" t="s">
        <v>12062</v>
      </c>
      <c r="C69" s="699"/>
      <c r="D69" s="702">
        <f>SUM(D37:E41)+SUM(D43:D46)+SUM(D51:D53)+D60+D61+SUM(D63:D67)</f>
        <v>40133</v>
      </c>
    </row>
    <row r="70" spans="1:9">
      <c r="A70" s="699" t="s">
        <v>12063</v>
      </c>
      <c r="D70" s="702">
        <f>D42+SUM(D47:D50)+SUM(D54:D59)+D62</f>
        <v>31919</v>
      </c>
    </row>
    <row r="71" spans="1:9">
      <c r="A71" s="699"/>
      <c r="B71" s="699"/>
      <c r="D71" s="709"/>
    </row>
    <row r="72" spans="1:9">
      <c r="A72" s="700" t="s">
        <v>12064</v>
      </c>
      <c r="D72" s="709"/>
    </row>
    <row r="73" spans="1:9">
      <c r="A73" s="699"/>
      <c r="B73" s="699"/>
      <c r="D73" s="709"/>
    </row>
    <row r="74" spans="1:9">
      <c r="A74" s="699"/>
      <c r="B74" s="699"/>
      <c r="D74" s="710"/>
    </row>
    <row r="75" spans="1:9">
      <c r="D75" s="10" t="s">
        <v>285</v>
      </c>
      <c r="E75" s="249"/>
      <c r="F75" s="38" t="s">
        <v>4116</v>
      </c>
    </row>
    <row r="76" spans="1:9">
      <c r="D76" s="39">
        <v>2016</v>
      </c>
      <c r="E76" s="40"/>
      <c r="F76" s="41" t="s">
        <v>286</v>
      </c>
    </row>
    <row r="77" spans="1:9">
      <c r="A77" s="699" t="s">
        <v>12065</v>
      </c>
      <c r="D77" s="702">
        <f t="shared" ref="D77" si="15">SUM(D78:D90)</f>
        <v>52499</v>
      </c>
    </row>
    <row r="78" spans="1:9">
      <c r="A78" s="708">
        <v>1</v>
      </c>
      <c r="B78" s="699" t="s">
        <v>12066</v>
      </c>
      <c r="C78" s="1" t="s">
        <v>12067</v>
      </c>
      <c r="D78" s="7">
        <v>1665</v>
      </c>
      <c r="F78" s="699" t="s">
        <v>11998</v>
      </c>
      <c r="G78" s="1"/>
      <c r="I78" s="1"/>
    </row>
    <row r="79" spans="1:9">
      <c r="A79" s="708">
        <v>2</v>
      </c>
      <c r="B79" s="699" t="s">
        <v>888</v>
      </c>
      <c r="C79" s="1" t="s">
        <v>12068</v>
      </c>
      <c r="D79" s="7">
        <v>2792</v>
      </c>
      <c r="F79" s="699" t="s">
        <v>11998</v>
      </c>
      <c r="G79" s="1"/>
      <c r="I79" s="1"/>
    </row>
    <row r="80" spans="1:9">
      <c r="A80" s="708">
        <v>3</v>
      </c>
      <c r="B80" s="699" t="s">
        <v>12069</v>
      </c>
      <c r="C80" s="1" t="s">
        <v>12070</v>
      </c>
      <c r="D80" s="7">
        <v>4948</v>
      </c>
      <c r="F80" s="699" t="s">
        <v>11998</v>
      </c>
      <c r="G80" s="1"/>
      <c r="I80" s="1"/>
    </row>
    <row r="81" spans="1:9">
      <c r="A81" s="708">
        <v>4</v>
      </c>
      <c r="B81" s="699" t="s">
        <v>12071</v>
      </c>
      <c r="C81" s="1" t="s">
        <v>12072</v>
      </c>
      <c r="D81" s="7">
        <v>4728</v>
      </c>
      <c r="F81" s="699" t="s">
        <v>11998</v>
      </c>
      <c r="G81" s="1"/>
      <c r="I81" s="1"/>
    </row>
    <row r="82" spans="1:9">
      <c r="A82" s="708">
        <v>5</v>
      </c>
      <c r="B82" s="699" t="s">
        <v>12073</v>
      </c>
      <c r="C82" s="1" t="s">
        <v>12074</v>
      </c>
      <c r="D82" s="7">
        <v>4156</v>
      </c>
      <c r="F82" s="699" t="s">
        <v>11998</v>
      </c>
      <c r="G82" s="1"/>
      <c r="I82" s="1"/>
    </row>
    <row r="83" spans="1:9">
      <c r="A83" s="708">
        <v>6</v>
      </c>
      <c r="B83" s="699" t="s">
        <v>12075</v>
      </c>
      <c r="C83" s="1" t="s">
        <v>12076</v>
      </c>
      <c r="D83" s="7">
        <v>4243</v>
      </c>
      <c r="F83" s="699" t="s">
        <v>11998</v>
      </c>
      <c r="G83" s="1"/>
      <c r="I83" s="1"/>
    </row>
    <row r="84" spans="1:9">
      <c r="A84" s="708">
        <v>7</v>
      </c>
      <c r="B84" s="699" t="s">
        <v>12077</v>
      </c>
      <c r="C84" s="1" t="s">
        <v>12078</v>
      </c>
      <c r="D84" s="7">
        <v>4455</v>
      </c>
      <c r="F84" s="699" t="s">
        <v>11998</v>
      </c>
      <c r="G84" s="1"/>
      <c r="I84" s="1"/>
    </row>
    <row r="85" spans="1:9">
      <c r="A85" s="708">
        <v>8</v>
      </c>
      <c r="B85" s="699" t="s">
        <v>12079</v>
      </c>
      <c r="C85" s="1" t="s">
        <v>12080</v>
      </c>
      <c r="D85" s="7">
        <v>4275</v>
      </c>
      <c r="F85" s="699" t="s">
        <v>11998</v>
      </c>
      <c r="G85" s="1"/>
      <c r="I85" s="1"/>
    </row>
    <row r="86" spans="1:9">
      <c r="A86" s="708">
        <v>9</v>
      </c>
      <c r="B86" s="699" t="s">
        <v>6933</v>
      </c>
      <c r="C86" s="1" t="s">
        <v>12081</v>
      </c>
      <c r="D86" s="7">
        <v>4331</v>
      </c>
      <c r="F86" s="699" t="s">
        <v>11998</v>
      </c>
      <c r="G86" s="1"/>
      <c r="I86" s="1"/>
    </row>
    <row r="87" spans="1:9">
      <c r="A87" s="708">
        <v>10</v>
      </c>
      <c r="B87" s="699" t="s">
        <v>12082</v>
      </c>
      <c r="C87" s="1" t="s">
        <v>12083</v>
      </c>
      <c r="D87" s="7">
        <v>4554</v>
      </c>
      <c r="F87" s="699" t="s">
        <v>11998</v>
      </c>
      <c r="G87" s="1"/>
      <c r="I87" s="1"/>
    </row>
    <row r="88" spans="1:9">
      <c r="A88" s="708">
        <v>11</v>
      </c>
      <c r="B88" s="699" t="s">
        <v>12084</v>
      </c>
      <c r="C88" s="1" t="s">
        <v>12085</v>
      </c>
      <c r="D88" s="7">
        <v>3934</v>
      </c>
      <c r="F88" s="699" t="s">
        <v>11998</v>
      </c>
      <c r="G88" s="1"/>
      <c r="I88" s="1"/>
    </row>
    <row r="89" spans="1:9">
      <c r="A89" s="708">
        <v>12</v>
      </c>
      <c r="B89" s="699" t="s">
        <v>12086</v>
      </c>
      <c r="C89" s="1" t="s">
        <v>12087</v>
      </c>
      <c r="D89" s="7">
        <v>4295</v>
      </c>
      <c r="F89" s="699" t="s">
        <v>11998</v>
      </c>
      <c r="G89" s="1"/>
      <c r="I89" s="1"/>
    </row>
    <row r="90" spans="1:9">
      <c r="A90" s="708">
        <v>13</v>
      </c>
      <c r="B90" s="699" t="s">
        <v>12088</v>
      </c>
      <c r="C90" s="1" t="s">
        <v>12089</v>
      </c>
      <c r="D90" s="7">
        <v>4123</v>
      </c>
      <c r="F90" s="699" t="s">
        <v>11998</v>
      </c>
      <c r="G90" s="1"/>
      <c r="I90" s="1"/>
    </row>
    <row r="91" spans="1:9">
      <c r="D91" s="703"/>
    </row>
    <row r="92" spans="1:9">
      <c r="A92" s="699" t="s">
        <v>12090</v>
      </c>
      <c r="D92" s="702">
        <f t="shared" ref="D92" si="16">SUM(D78:D90)</f>
        <v>52499</v>
      </c>
    </row>
    <row r="93" spans="1:9">
      <c r="D93" s="709"/>
    </row>
    <row r="94" spans="1:9">
      <c r="A94" s="700" t="s">
        <v>12091</v>
      </c>
      <c r="D94" s="709"/>
    </row>
    <row r="95" spans="1:9">
      <c r="A95" s="699"/>
      <c r="B95" s="699"/>
      <c r="D95" s="709"/>
    </row>
    <row r="96" spans="1:9">
      <c r="A96" s="699"/>
      <c r="B96" s="699"/>
      <c r="D96" s="710"/>
    </row>
    <row r="97" spans="1:9">
      <c r="D97" s="10" t="s">
        <v>285</v>
      </c>
      <c r="E97" s="249"/>
      <c r="F97" s="38" t="s">
        <v>4116</v>
      </c>
    </row>
    <row r="98" spans="1:9">
      <c r="D98" s="39">
        <v>2016</v>
      </c>
      <c r="E98" s="40"/>
      <c r="F98" s="41" t="s">
        <v>286</v>
      </c>
    </row>
    <row r="99" spans="1:9">
      <c r="A99" s="699" t="s">
        <v>12092</v>
      </c>
      <c r="D99" s="702">
        <f t="shared" ref="D99" si="17">SUM(D100:D118)+SUM(D119:D121)</f>
        <v>76825</v>
      </c>
    </row>
    <row r="100" spans="1:9">
      <c r="A100" s="708">
        <v>1</v>
      </c>
      <c r="B100" s="699" t="s">
        <v>12093</v>
      </c>
      <c r="C100" s="1" t="s">
        <v>12094</v>
      </c>
      <c r="D100" s="7">
        <v>4648</v>
      </c>
      <c r="F100" s="699" t="s">
        <v>12095</v>
      </c>
      <c r="G100" s="1"/>
      <c r="I100" s="1"/>
    </row>
    <row r="101" spans="1:9">
      <c r="A101" s="708">
        <v>2</v>
      </c>
      <c r="B101" s="699" t="s">
        <v>2520</v>
      </c>
      <c r="C101" s="1" t="s">
        <v>12096</v>
      </c>
      <c r="D101" s="7">
        <v>4592</v>
      </c>
      <c r="F101" s="699" t="s">
        <v>12095</v>
      </c>
      <c r="G101" s="1"/>
      <c r="I101" s="1"/>
    </row>
    <row r="102" spans="1:9">
      <c r="A102" s="708">
        <v>3</v>
      </c>
      <c r="B102" s="699" t="s">
        <v>12097</v>
      </c>
      <c r="C102" s="1" t="s">
        <v>12098</v>
      </c>
      <c r="D102" s="7">
        <v>3961</v>
      </c>
      <c r="F102" s="699" t="s">
        <v>12095</v>
      </c>
      <c r="G102" s="1"/>
      <c r="I102" s="1"/>
    </row>
    <row r="103" spans="1:9">
      <c r="A103" s="708">
        <v>4</v>
      </c>
      <c r="B103" s="699" t="s">
        <v>7183</v>
      </c>
      <c r="C103" s="1" t="s">
        <v>12099</v>
      </c>
      <c r="D103" s="8">
        <v>3422</v>
      </c>
      <c r="F103" s="699" t="s">
        <v>12095</v>
      </c>
      <c r="G103" s="1"/>
      <c r="I103" s="1"/>
    </row>
    <row r="104" spans="1:9">
      <c r="A104" s="708">
        <v>5</v>
      </c>
      <c r="B104" s="699" t="s">
        <v>12100</v>
      </c>
      <c r="C104" s="1" t="s">
        <v>12101</v>
      </c>
      <c r="D104" s="7">
        <v>1630</v>
      </c>
      <c r="F104" s="699" t="s">
        <v>12095</v>
      </c>
      <c r="G104" s="1"/>
      <c r="I104" s="1"/>
    </row>
    <row r="105" spans="1:9">
      <c r="A105" s="708">
        <v>6</v>
      </c>
      <c r="B105" s="700" t="s">
        <v>883</v>
      </c>
      <c r="C105" s="1" t="s">
        <v>12102</v>
      </c>
      <c r="D105" s="7">
        <v>3478</v>
      </c>
      <c r="F105" s="699" t="s">
        <v>12095</v>
      </c>
      <c r="G105" s="1"/>
      <c r="I105" s="1"/>
    </row>
    <row r="106" spans="1:9">
      <c r="A106" s="708">
        <v>7</v>
      </c>
      <c r="B106" s="699" t="s">
        <v>12103</v>
      </c>
      <c r="C106" s="1" t="s">
        <v>12104</v>
      </c>
      <c r="D106" s="7">
        <v>4053</v>
      </c>
      <c r="F106" s="699" t="s">
        <v>12095</v>
      </c>
      <c r="G106" s="1"/>
      <c r="I106" s="1"/>
    </row>
    <row r="107" spans="1:9">
      <c r="A107" s="708">
        <v>8</v>
      </c>
      <c r="B107" s="699" t="s">
        <v>9698</v>
      </c>
      <c r="C107" s="1" t="s">
        <v>12105</v>
      </c>
      <c r="D107" s="7">
        <v>4802</v>
      </c>
      <c r="F107" s="699" t="s">
        <v>12095</v>
      </c>
      <c r="G107" s="1"/>
      <c r="I107" s="1"/>
    </row>
    <row r="108" spans="1:9">
      <c r="A108" s="708">
        <v>9</v>
      </c>
      <c r="B108" s="699" t="s">
        <v>12106</v>
      </c>
      <c r="C108" s="1" t="s">
        <v>12107</v>
      </c>
      <c r="D108" s="7">
        <v>4207</v>
      </c>
      <c r="F108" s="699" t="s">
        <v>12095</v>
      </c>
      <c r="G108" s="1"/>
      <c r="I108" s="1"/>
    </row>
    <row r="109" spans="1:9">
      <c r="A109" s="708">
        <v>10</v>
      </c>
      <c r="B109" s="699" t="s">
        <v>12108</v>
      </c>
      <c r="C109" s="1" t="s">
        <v>12109</v>
      </c>
      <c r="D109" s="8">
        <v>1659</v>
      </c>
      <c r="F109" s="699" t="s">
        <v>12095</v>
      </c>
      <c r="G109" s="1"/>
      <c r="I109" s="1"/>
    </row>
    <row r="110" spans="1:9">
      <c r="A110" s="708">
        <v>11</v>
      </c>
      <c r="B110" s="699" t="s">
        <v>12110</v>
      </c>
      <c r="C110" s="1" t="s">
        <v>12111</v>
      </c>
      <c r="D110" s="7">
        <v>4661</v>
      </c>
      <c r="F110" s="699" t="s">
        <v>12095</v>
      </c>
      <c r="G110" s="1"/>
      <c r="I110" s="1"/>
    </row>
    <row r="111" spans="1:9">
      <c r="A111" s="708">
        <v>12</v>
      </c>
      <c r="B111" s="699" t="s">
        <v>12112</v>
      </c>
      <c r="C111" s="1" t="s">
        <v>12113</v>
      </c>
      <c r="D111" s="8">
        <v>1574</v>
      </c>
      <c r="F111" s="699" t="s">
        <v>12095</v>
      </c>
      <c r="G111" s="1"/>
      <c r="I111" s="1"/>
    </row>
    <row r="112" spans="1:9">
      <c r="A112" s="708">
        <v>13</v>
      </c>
      <c r="B112" s="699" t="s">
        <v>12114</v>
      </c>
      <c r="C112" s="1" t="s">
        <v>12115</v>
      </c>
      <c r="D112" s="8">
        <v>1516</v>
      </c>
      <c r="F112" s="699" t="s">
        <v>12095</v>
      </c>
      <c r="G112" s="1"/>
      <c r="I112" s="1"/>
    </row>
    <row r="113" spans="1:9">
      <c r="A113" s="708">
        <v>14</v>
      </c>
      <c r="B113" s="700" t="s">
        <v>12116</v>
      </c>
      <c r="C113" s="1" t="s">
        <v>12117</v>
      </c>
      <c r="D113" s="8">
        <v>2978</v>
      </c>
      <c r="F113" s="699" t="s">
        <v>12095</v>
      </c>
      <c r="G113" s="1"/>
      <c r="I113" s="1"/>
    </row>
    <row r="114" spans="1:9">
      <c r="A114" s="708">
        <v>15</v>
      </c>
      <c r="B114" s="699" t="s">
        <v>12118</v>
      </c>
      <c r="C114" s="1" t="s">
        <v>12119</v>
      </c>
      <c r="D114" s="8">
        <v>1541</v>
      </c>
      <c r="F114" s="699" t="s">
        <v>12095</v>
      </c>
      <c r="G114" s="1"/>
      <c r="I114" s="1"/>
    </row>
    <row r="115" spans="1:9">
      <c r="A115" s="708">
        <v>16</v>
      </c>
      <c r="B115" s="699" t="s">
        <v>3863</v>
      </c>
      <c r="C115" s="1" t="s">
        <v>12120</v>
      </c>
      <c r="D115" s="7">
        <v>4376</v>
      </c>
      <c r="F115" s="699" t="s">
        <v>12095</v>
      </c>
      <c r="G115" s="1"/>
      <c r="I115" s="1"/>
    </row>
    <row r="116" spans="1:9">
      <c r="A116" s="708">
        <v>17</v>
      </c>
      <c r="B116" s="699" t="s">
        <v>12121</v>
      </c>
      <c r="C116" s="1" t="s">
        <v>12122</v>
      </c>
      <c r="D116" s="7">
        <v>3882</v>
      </c>
      <c r="F116" s="699" t="s">
        <v>12095</v>
      </c>
      <c r="G116" s="1"/>
      <c r="I116" s="1"/>
    </row>
    <row r="117" spans="1:9">
      <c r="A117" s="708">
        <v>18</v>
      </c>
      <c r="B117" s="699" t="s">
        <v>12123</v>
      </c>
      <c r="C117" s="1" t="s">
        <v>12124</v>
      </c>
      <c r="D117" s="8">
        <v>3628</v>
      </c>
      <c r="F117" s="699" t="s">
        <v>12095</v>
      </c>
      <c r="G117" s="1"/>
      <c r="I117" s="1"/>
    </row>
    <row r="118" spans="1:9">
      <c r="A118" s="708">
        <v>19</v>
      </c>
      <c r="B118" s="699" t="s">
        <v>12125</v>
      </c>
      <c r="C118" s="1" t="s">
        <v>12126</v>
      </c>
      <c r="D118" s="7">
        <v>4386</v>
      </c>
      <c r="F118" s="699" t="s">
        <v>12095</v>
      </c>
      <c r="G118" s="1"/>
      <c r="I118" s="1"/>
    </row>
    <row r="119" spans="1:9">
      <c r="A119" s="708">
        <v>20</v>
      </c>
      <c r="B119" s="699" t="s">
        <v>12127</v>
      </c>
      <c r="C119" s="1" t="s">
        <v>12128</v>
      </c>
      <c r="D119" s="7">
        <v>3579</v>
      </c>
      <c r="F119" s="699" t="s">
        <v>12095</v>
      </c>
      <c r="G119" s="1"/>
      <c r="I119" s="1"/>
    </row>
    <row r="120" spans="1:9">
      <c r="A120" s="708">
        <v>21</v>
      </c>
      <c r="B120" s="699" t="s">
        <v>12129</v>
      </c>
      <c r="C120" s="1" t="s">
        <v>12130</v>
      </c>
      <c r="D120" s="7">
        <v>3736</v>
      </c>
      <c r="F120" s="699" t="s">
        <v>12095</v>
      </c>
      <c r="G120" s="1"/>
      <c r="I120" s="1"/>
    </row>
    <row r="121" spans="1:9">
      <c r="A121" s="708">
        <v>22</v>
      </c>
      <c r="B121" s="699" t="s">
        <v>12131</v>
      </c>
      <c r="C121" s="1" t="s">
        <v>12132</v>
      </c>
      <c r="D121" s="7">
        <v>4516</v>
      </c>
      <c r="F121" s="699" t="s">
        <v>12095</v>
      </c>
      <c r="G121" s="1"/>
      <c r="I121" s="1"/>
    </row>
    <row r="122" spans="1:9">
      <c r="A122" s="708"/>
      <c r="B122" s="699"/>
      <c r="D122" s="703"/>
      <c r="F122" s="699"/>
    </row>
    <row r="123" spans="1:9">
      <c r="A123" s="699" t="s">
        <v>12095</v>
      </c>
      <c r="D123" s="702">
        <f>SUM(D100:D121)</f>
        <v>76825</v>
      </c>
    </row>
    <row r="124" spans="1:9">
      <c r="A124" s="699"/>
      <c r="B124" s="699"/>
      <c r="D124" s="709"/>
    </row>
    <row r="125" spans="1:9">
      <c r="A125" s="700" t="s">
        <v>12133</v>
      </c>
      <c r="D125" s="709"/>
    </row>
    <row r="126" spans="1:9">
      <c r="A126" s="699"/>
      <c r="B126" s="699"/>
      <c r="C126" s="699"/>
      <c r="D126" s="709"/>
    </row>
    <row r="127" spans="1:9">
      <c r="A127" s="699"/>
      <c r="B127" s="699"/>
      <c r="D127" s="710"/>
    </row>
    <row r="128" spans="1:9">
      <c r="D128" s="10" t="s">
        <v>285</v>
      </c>
      <c r="E128" s="249"/>
      <c r="F128" s="38" t="s">
        <v>4116</v>
      </c>
    </row>
    <row r="129" spans="1:9">
      <c r="D129" s="39">
        <v>2016</v>
      </c>
      <c r="E129" s="40"/>
      <c r="F129" s="41" t="s">
        <v>286</v>
      </c>
    </row>
    <row r="130" spans="1:9">
      <c r="A130" s="699" t="s">
        <v>12134</v>
      </c>
      <c r="D130" s="702">
        <f t="shared" ref="D130" si="18">SUM(D131:D155)</f>
        <v>53024</v>
      </c>
    </row>
    <row r="131" spans="1:9">
      <c r="A131" s="708">
        <v>1</v>
      </c>
      <c r="B131" s="700" t="s">
        <v>12135</v>
      </c>
      <c r="C131" s="1" t="s">
        <v>12136</v>
      </c>
      <c r="D131" s="13">
        <v>1170</v>
      </c>
      <c r="F131" s="699" t="s">
        <v>12137</v>
      </c>
      <c r="G131" s="1"/>
      <c r="I131" s="1"/>
    </row>
    <row r="132" spans="1:9">
      <c r="A132" s="708">
        <v>2</v>
      </c>
      <c r="B132" s="699" t="s">
        <v>12138</v>
      </c>
      <c r="C132" s="1" t="s">
        <v>12139</v>
      </c>
      <c r="D132" s="13">
        <v>2307</v>
      </c>
      <c r="F132" s="699" t="s">
        <v>12137</v>
      </c>
      <c r="G132" s="1"/>
      <c r="I132" s="1"/>
    </row>
    <row r="133" spans="1:9">
      <c r="A133" s="708">
        <v>3</v>
      </c>
      <c r="B133" s="699" t="s">
        <v>12140</v>
      </c>
      <c r="C133" s="1" t="s">
        <v>12141</v>
      </c>
      <c r="D133" s="13">
        <v>1014</v>
      </c>
      <c r="F133" s="699" t="s">
        <v>11998</v>
      </c>
      <c r="G133" s="1"/>
      <c r="I133" s="1"/>
    </row>
    <row r="134" spans="1:9">
      <c r="A134" s="708">
        <v>4</v>
      </c>
      <c r="B134" s="699" t="s">
        <v>12142</v>
      </c>
      <c r="C134" s="1" t="s">
        <v>12143</v>
      </c>
      <c r="D134" s="13">
        <v>3777</v>
      </c>
      <c r="F134" s="699" t="s">
        <v>12137</v>
      </c>
      <c r="G134" s="1"/>
      <c r="I134" s="1"/>
    </row>
    <row r="135" spans="1:9">
      <c r="A135" s="708">
        <v>5</v>
      </c>
      <c r="B135" s="699" t="s">
        <v>12144</v>
      </c>
      <c r="C135" s="1" t="s">
        <v>12145</v>
      </c>
      <c r="D135" s="13">
        <v>3129</v>
      </c>
      <c r="F135" s="699" t="s">
        <v>12137</v>
      </c>
      <c r="G135" s="1"/>
      <c r="I135" s="1"/>
    </row>
    <row r="136" spans="1:9">
      <c r="A136" s="708">
        <v>6</v>
      </c>
      <c r="B136" s="699" t="s">
        <v>12146</v>
      </c>
      <c r="C136" s="1" t="s">
        <v>12147</v>
      </c>
      <c r="D136" s="13">
        <v>2007</v>
      </c>
      <c r="F136" s="699" t="s">
        <v>12137</v>
      </c>
      <c r="G136" s="1"/>
      <c r="I136" s="1"/>
    </row>
    <row r="137" spans="1:9">
      <c r="A137" s="708">
        <v>7</v>
      </c>
      <c r="B137" s="699" t="s">
        <v>12148</v>
      </c>
      <c r="C137" s="1" t="s">
        <v>12149</v>
      </c>
      <c r="D137" s="13">
        <v>3053</v>
      </c>
      <c r="F137" s="699" t="s">
        <v>12137</v>
      </c>
      <c r="G137" s="1"/>
      <c r="I137" s="1"/>
    </row>
    <row r="138" spans="1:9">
      <c r="A138" s="708">
        <v>8</v>
      </c>
      <c r="B138" s="699" t="s">
        <v>12150</v>
      </c>
      <c r="C138" s="1" t="s">
        <v>12151</v>
      </c>
      <c r="D138" s="13">
        <v>3208</v>
      </c>
      <c r="F138" s="699" t="s">
        <v>12137</v>
      </c>
      <c r="G138" s="1"/>
      <c r="I138" s="1"/>
    </row>
    <row r="139" spans="1:9">
      <c r="A139" s="708">
        <v>9</v>
      </c>
      <c r="B139" s="699" t="s">
        <v>12152</v>
      </c>
      <c r="C139" s="1" t="s">
        <v>12153</v>
      </c>
      <c r="D139" s="13">
        <v>2832</v>
      </c>
      <c r="F139" s="699" t="s">
        <v>12137</v>
      </c>
      <c r="G139" s="1"/>
      <c r="I139" s="1"/>
    </row>
    <row r="140" spans="1:9">
      <c r="A140" s="708">
        <v>10</v>
      </c>
      <c r="B140" s="699" t="s">
        <v>12154</v>
      </c>
      <c r="C140" s="1" t="s">
        <v>12155</v>
      </c>
      <c r="D140" s="13">
        <v>820</v>
      </c>
      <c r="F140" s="699" t="s">
        <v>12137</v>
      </c>
      <c r="G140" s="1"/>
      <c r="I140" s="1"/>
    </row>
    <row r="141" spans="1:9">
      <c r="A141" s="708">
        <v>11</v>
      </c>
      <c r="B141" s="699" t="s">
        <v>12156</v>
      </c>
      <c r="C141" s="1" t="s">
        <v>12157</v>
      </c>
      <c r="D141" s="13">
        <v>2033</v>
      </c>
      <c r="F141" s="699" t="s">
        <v>12137</v>
      </c>
      <c r="G141" s="1"/>
      <c r="I141" s="1"/>
    </row>
    <row r="142" spans="1:9">
      <c r="A142" s="708">
        <v>12</v>
      </c>
      <c r="B142" s="699" t="s">
        <v>12158</v>
      </c>
      <c r="C142" s="1" t="s">
        <v>12159</v>
      </c>
      <c r="D142" s="13">
        <v>1114</v>
      </c>
      <c r="F142" s="699" t="s">
        <v>12137</v>
      </c>
      <c r="G142" s="1"/>
      <c r="I142" s="1"/>
    </row>
    <row r="143" spans="1:9">
      <c r="A143" s="708">
        <v>13</v>
      </c>
      <c r="B143" s="699" t="s">
        <v>9116</v>
      </c>
      <c r="C143" s="1" t="s">
        <v>12160</v>
      </c>
      <c r="D143" s="13">
        <v>3169</v>
      </c>
      <c r="F143" s="699" t="s">
        <v>12137</v>
      </c>
      <c r="G143" s="1"/>
      <c r="I143" s="1"/>
    </row>
    <row r="144" spans="1:9">
      <c r="A144" s="708">
        <v>14</v>
      </c>
      <c r="B144" s="699" t="s">
        <v>12161</v>
      </c>
      <c r="C144" s="1" t="s">
        <v>12162</v>
      </c>
      <c r="D144" s="13">
        <v>1028</v>
      </c>
      <c r="F144" s="699" t="s">
        <v>11998</v>
      </c>
      <c r="G144" s="1"/>
      <c r="I144" s="1"/>
    </row>
    <row r="145" spans="1:9">
      <c r="A145" s="708">
        <v>15</v>
      </c>
      <c r="B145" s="699" t="s">
        <v>12163</v>
      </c>
      <c r="C145" s="1" t="s">
        <v>12164</v>
      </c>
      <c r="D145" s="13">
        <v>3063</v>
      </c>
      <c r="F145" s="699" t="s">
        <v>12137</v>
      </c>
      <c r="G145" s="1"/>
      <c r="I145" s="1"/>
    </row>
    <row r="146" spans="1:9">
      <c r="A146" s="708">
        <v>16</v>
      </c>
      <c r="B146" s="699" t="s">
        <v>12165</v>
      </c>
      <c r="C146" s="1" t="s">
        <v>12166</v>
      </c>
      <c r="D146" s="13">
        <v>2025</v>
      </c>
      <c r="F146" s="699" t="s">
        <v>12137</v>
      </c>
      <c r="G146" s="1"/>
      <c r="I146" s="1"/>
    </row>
    <row r="147" spans="1:9">
      <c r="A147" s="708">
        <v>17</v>
      </c>
      <c r="B147" s="699" t="s">
        <v>12167</v>
      </c>
      <c r="C147" s="1" t="s">
        <v>12168</v>
      </c>
      <c r="D147" s="13">
        <v>1935</v>
      </c>
      <c r="F147" s="699" t="s">
        <v>11998</v>
      </c>
      <c r="G147" s="1"/>
      <c r="I147" s="1"/>
    </row>
    <row r="148" spans="1:9">
      <c r="A148" s="708">
        <v>18</v>
      </c>
      <c r="B148" s="699" t="s">
        <v>12169</v>
      </c>
      <c r="C148" s="1" t="s">
        <v>12170</v>
      </c>
      <c r="D148" s="13">
        <v>1956</v>
      </c>
      <c r="F148" s="699" t="s">
        <v>12137</v>
      </c>
      <c r="G148" s="1"/>
      <c r="I148" s="1"/>
    </row>
    <row r="149" spans="1:9">
      <c r="A149" s="708">
        <v>19</v>
      </c>
      <c r="B149" s="699" t="s">
        <v>12171</v>
      </c>
      <c r="C149" s="1" t="s">
        <v>12172</v>
      </c>
      <c r="D149" s="13">
        <v>1092</v>
      </c>
      <c r="F149" s="699" t="s">
        <v>11998</v>
      </c>
      <c r="G149" s="1"/>
      <c r="I149" s="1"/>
    </row>
    <row r="150" spans="1:9">
      <c r="A150" s="708">
        <v>20</v>
      </c>
      <c r="B150" s="699" t="s">
        <v>12173</v>
      </c>
      <c r="C150" s="1" t="s">
        <v>12174</v>
      </c>
      <c r="D150" s="13">
        <v>3124</v>
      </c>
      <c r="F150" s="699" t="s">
        <v>12137</v>
      </c>
      <c r="G150" s="1"/>
      <c r="I150" s="1"/>
    </row>
    <row r="151" spans="1:9">
      <c r="A151" s="708">
        <v>21</v>
      </c>
      <c r="B151" s="699" t="s">
        <v>12175</v>
      </c>
      <c r="C151" s="1" t="s">
        <v>12176</v>
      </c>
      <c r="D151" s="13">
        <v>1065</v>
      </c>
      <c r="F151" s="699" t="s">
        <v>12137</v>
      </c>
      <c r="G151" s="1"/>
      <c r="I151" s="1"/>
    </row>
    <row r="152" spans="1:9">
      <c r="A152" s="708">
        <v>22</v>
      </c>
      <c r="B152" s="699" t="s">
        <v>1004</v>
      </c>
      <c r="C152" s="1" t="s">
        <v>12177</v>
      </c>
      <c r="D152" s="13">
        <v>2635</v>
      </c>
      <c r="F152" s="699" t="s">
        <v>11998</v>
      </c>
      <c r="G152" s="1"/>
      <c r="I152" s="1"/>
    </row>
    <row r="153" spans="1:9">
      <c r="A153" s="708">
        <v>23</v>
      </c>
      <c r="B153" s="699" t="s">
        <v>12178</v>
      </c>
      <c r="C153" s="1" t="s">
        <v>12179</v>
      </c>
      <c r="D153" s="13">
        <v>1328</v>
      </c>
      <c r="F153" s="699" t="s">
        <v>12137</v>
      </c>
      <c r="G153" s="1"/>
      <c r="I153" s="1"/>
    </row>
    <row r="154" spans="1:9">
      <c r="A154" s="708">
        <v>24</v>
      </c>
      <c r="B154" s="699" t="s">
        <v>12180</v>
      </c>
      <c r="C154" s="1" t="s">
        <v>12181</v>
      </c>
      <c r="D154" s="13">
        <v>1942</v>
      </c>
      <c r="F154" s="699" t="s">
        <v>12137</v>
      </c>
      <c r="G154" s="1"/>
      <c r="I154" s="1"/>
    </row>
    <row r="155" spans="1:9">
      <c r="A155" s="708">
        <v>25</v>
      </c>
      <c r="B155" s="699" t="s">
        <v>12182</v>
      </c>
      <c r="C155" s="1" t="s">
        <v>12183</v>
      </c>
      <c r="D155" s="13">
        <v>2198</v>
      </c>
      <c r="F155" s="699" t="s">
        <v>12137</v>
      </c>
      <c r="G155" s="1"/>
      <c r="I155" s="1"/>
    </row>
    <row r="156" spans="1:9">
      <c r="D156" s="703"/>
    </row>
    <row r="157" spans="1:9">
      <c r="A157" s="699" t="s">
        <v>12090</v>
      </c>
      <c r="D157" s="703">
        <f>D133+D144+D147+D149+D152</f>
        <v>7704</v>
      </c>
    </row>
    <row r="158" spans="1:9">
      <c r="A158" s="699" t="s">
        <v>12184</v>
      </c>
      <c r="D158" s="702">
        <f>D131+D132+SUM(D134:D143)+D145+D146+D148+D150+D151+SUM(D153:D155)</f>
        <v>45320</v>
      </c>
    </row>
    <row r="159" spans="1:9">
      <c r="D159" s="709"/>
    </row>
    <row r="160" spans="1:9">
      <c r="A160" s="700" t="s">
        <v>12185</v>
      </c>
      <c r="D160" s="709"/>
    </row>
    <row r="161" spans="1:9">
      <c r="A161" s="699"/>
      <c r="B161" s="699"/>
      <c r="D161" s="709"/>
    </row>
    <row r="162" spans="1:9">
      <c r="A162" s="699"/>
      <c r="B162" s="699"/>
      <c r="D162" s="710"/>
    </row>
    <row r="163" spans="1:9">
      <c r="D163" s="10" t="s">
        <v>285</v>
      </c>
      <c r="E163" s="249"/>
      <c r="F163" s="38" t="s">
        <v>4116</v>
      </c>
    </row>
    <row r="164" spans="1:9">
      <c r="D164" s="39">
        <v>2016</v>
      </c>
      <c r="E164" s="40"/>
      <c r="F164" s="41" t="s">
        <v>286</v>
      </c>
    </row>
    <row r="165" spans="1:9">
      <c r="A165" s="699" t="s">
        <v>12186</v>
      </c>
      <c r="D165" s="702">
        <f t="shared" ref="D165" si="19">SUM(D166:D195)</f>
        <v>40434</v>
      </c>
    </row>
    <row r="166" spans="1:9">
      <c r="A166" s="708">
        <v>1</v>
      </c>
      <c r="B166" s="699" t="s">
        <v>12187</v>
      </c>
      <c r="C166" s="1" t="s">
        <v>12188</v>
      </c>
      <c r="D166" s="13">
        <v>1638</v>
      </c>
      <c r="F166" s="699" t="s">
        <v>12002</v>
      </c>
      <c r="G166" s="1"/>
      <c r="I166" s="1"/>
    </row>
    <row r="167" spans="1:9">
      <c r="A167" s="708">
        <v>2</v>
      </c>
      <c r="B167" s="699" t="s">
        <v>12189</v>
      </c>
      <c r="C167" s="1" t="s">
        <v>12190</v>
      </c>
      <c r="D167" s="13">
        <v>1018</v>
      </c>
      <c r="F167" s="699" t="s">
        <v>12005</v>
      </c>
      <c r="G167" s="1"/>
      <c r="I167" s="1"/>
    </row>
    <row r="168" spans="1:9">
      <c r="A168" s="708">
        <v>3</v>
      </c>
      <c r="B168" s="699" t="s">
        <v>12191</v>
      </c>
      <c r="C168" s="1" t="s">
        <v>12192</v>
      </c>
      <c r="D168" s="13">
        <v>1324</v>
      </c>
      <c r="F168" s="699" t="s">
        <v>12005</v>
      </c>
      <c r="G168" s="1"/>
      <c r="I168" s="1"/>
    </row>
    <row r="169" spans="1:9">
      <c r="A169" s="708">
        <v>4</v>
      </c>
      <c r="B169" s="699" t="s">
        <v>12193</v>
      </c>
      <c r="C169" s="1" t="s">
        <v>12194</v>
      </c>
      <c r="D169" s="13">
        <v>1049</v>
      </c>
      <c r="F169" s="699" t="s">
        <v>12002</v>
      </c>
      <c r="G169" s="1"/>
      <c r="I169" s="1"/>
    </row>
    <row r="170" spans="1:9">
      <c r="A170" s="708">
        <v>5</v>
      </c>
      <c r="B170" s="699" t="s">
        <v>12195</v>
      </c>
      <c r="C170" s="1" t="s">
        <v>12196</v>
      </c>
      <c r="D170" s="13">
        <v>1035</v>
      </c>
      <c r="F170" s="699" t="s">
        <v>12005</v>
      </c>
      <c r="G170" s="1"/>
      <c r="I170" s="1"/>
    </row>
    <row r="171" spans="1:9">
      <c r="A171" s="708">
        <v>6</v>
      </c>
      <c r="B171" s="699" t="s">
        <v>12197</v>
      </c>
      <c r="C171" s="1" t="s">
        <v>12198</v>
      </c>
      <c r="D171" s="13">
        <v>1131</v>
      </c>
      <c r="F171" s="699" t="s">
        <v>12002</v>
      </c>
      <c r="G171" s="1"/>
      <c r="I171" s="1"/>
    </row>
    <row r="172" spans="1:9">
      <c r="A172" s="708">
        <v>7</v>
      </c>
      <c r="B172" s="699" t="s">
        <v>12199</v>
      </c>
      <c r="C172" s="1" t="s">
        <v>12200</v>
      </c>
      <c r="D172" s="13">
        <v>1118</v>
      </c>
      <c r="F172" s="699" t="s">
        <v>12002</v>
      </c>
      <c r="G172" s="1"/>
      <c r="I172" s="1"/>
    </row>
    <row r="173" spans="1:9">
      <c r="A173" s="708">
        <v>8</v>
      </c>
      <c r="B173" s="699" t="s">
        <v>12201</v>
      </c>
      <c r="C173" s="1" t="s">
        <v>12202</v>
      </c>
      <c r="D173" s="13">
        <v>1180</v>
      </c>
      <c r="F173" s="699" t="s">
        <v>12002</v>
      </c>
      <c r="G173" s="1"/>
      <c r="I173" s="1"/>
    </row>
    <row r="174" spans="1:9">
      <c r="A174" s="708">
        <v>9</v>
      </c>
      <c r="B174" s="699" t="s">
        <v>12203</v>
      </c>
      <c r="C174" s="1" t="s">
        <v>12204</v>
      </c>
      <c r="D174" s="13">
        <v>1138</v>
      </c>
      <c r="F174" s="699" t="s">
        <v>12002</v>
      </c>
      <c r="G174" s="1"/>
      <c r="I174" s="1"/>
    </row>
    <row r="175" spans="1:9">
      <c r="A175" s="708">
        <v>10</v>
      </c>
      <c r="B175" s="699" t="s">
        <v>12205</v>
      </c>
      <c r="C175" s="1" t="s">
        <v>12206</v>
      </c>
      <c r="D175" s="13">
        <v>1039</v>
      </c>
      <c r="F175" s="699" t="s">
        <v>12002</v>
      </c>
      <c r="G175" s="1"/>
      <c r="I175" s="1"/>
    </row>
    <row r="176" spans="1:9">
      <c r="A176" s="708">
        <v>11</v>
      </c>
      <c r="B176" s="699" t="s">
        <v>12207</v>
      </c>
      <c r="C176" s="1" t="s">
        <v>12208</v>
      </c>
      <c r="D176" s="13">
        <v>2403</v>
      </c>
      <c r="F176" s="699" t="s">
        <v>12002</v>
      </c>
      <c r="G176" s="1"/>
      <c r="I176" s="1"/>
    </row>
    <row r="177" spans="1:9">
      <c r="A177" s="708">
        <v>12</v>
      </c>
      <c r="B177" s="699" t="s">
        <v>12209</v>
      </c>
      <c r="C177" s="1" t="s">
        <v>12210</v>
      </c>
      <c r="D177" s="13">
        <v>2011</v>
      </c>
      <c r="F177" s="699" t="s">
        <v>12005</v>
      </c>
      <c r="G177" s="1"/>
      <c r="I177" s="1"/>
    </row>
    <row r="178" spans="1:9">
      <c r="A178" s="708">
        <v>13</v>
      </c>
      <c r="B178" s="699" t="s">
        <v>12211</v>
      </c>
      <c r="C178" s="1" t="s">
        <v>12212</v>
      </c>
      <c r="D178" s="13">
        <v>1173</v>
      </c>
      <c r="F178" s="699" t="s">
        <v>12002</v>
      </c>
      <c r="G178" s="1"/>
      <c r="I178" s="1"/>
    </row>
    <row r="179" spans="1:9">
      <c r="A179" s="708">
        <v>14</v>
      </c>
      <c r="B179" s="699" t="s">
        <v>12213</v>
      </c>
      <c r="C179" s="1" t="s">
        <v>12214</v>
      </c>
      <c r="D179" s="13">
        <v>1132</v>
      </c>
      <c r="F179" s="699" t="s">
        <v>12002</v>
      </c>
      <c r="G179" s="1"/>
      <c r="I179" s="1"/>
    </row>
    <row r="180" spans="1:9">
      <c r="A180" s="708">
        <v>15</v>
      </c>
      <c r="B180" s="699" t="s">
        <v>12215</v>
      </c>
      <c r="C180" s="1" t="s">
        <v>12216</v>
      </c>
      <c r="D180" s="13">
        <v>1245</v>
      </c>
      <c r="F180" s="699" t="s">
        <v>12002</v>
      </c>
      <c r="G180" s="1"/>
      <c r="I180" s="1"/>
    </row>
    <row r="181" spans="1:9">
      <c r="A181" s="708">
        <v>16</v>
      </c>
      <c r="B181" s="699" t="s">
        <v>12217</v>
      </c>
      <c r="C181" s="1" t="s">
        <v>12218</v>
      </c>
      <c r="D181" s="13">
        <v>1107</v>
      </c>
      <c r="F181" s="699" t="s">
        <v>12002</v>
      </c>
      <c r="G181" s="1"/>
      <c r="I181" s="1"/>
    </row>
    <row r="182" spans="1:9">
      <c r="A182" s="708">
        <v>17</v>
      </c>
      <c r="B182" s="699" t="s">
        <v>12219</v>
      </c>
      <c r="C182" s="1" t="s">
        <v>12220</v>
      </c>
      <c r="D182" s="13">
        <v>952</v>
      </c>
      <c r="F182" s="699" t="s">
        <v>12002</v>
      </c>
      <c r="G182" s="1"/>
      <c r="I182" s="1"/>
    </row>
    <row r="183" spans="1:9">
      <c r="A183" s="708">
        <v>18</v>
      </c>
      <c r="B183" s="699" t="s">
        <v>12221</v>
      </c>
      <c r="C183" s="1" t="s">
        <v>12222</v>
      </c>
      <c r="D183" s="13">
        <v>1004</v>
      </c>
      <c r="F183" s="699" t="s">
        <v>12002</v>
      </c>
      <c r="G183" s="1"/>
      <c r="I183" s="1"/>
    </row>
    <row r="184" spans="1:9">
      <c r="A184" s="708">
        <v>19</v>
      </c>
      <c r="B184" s="699" t="s">
        <v>12223</v>
      </c>
      <c r="C184" s="1" t="s">
        <v>12224</v>
      </c>
      <c r="D184" s="13">
        <v>1061</v>
      </c>
      <c r="F184" s="699" t="s">
        <v>12005</v>
      </c>
      <c r="G184" s="1"/>
      <c r="I184" s="1"/>
    </row>
    <row r="185" spans="1:9">
      <c r="A185" s="708">
        <v>20</v>
      </c>
      <c r="B185" s="699" t="s">
        <v>12225</v>
      </c>
      <c r="C185" s="1" t="s">
        <v>12226</v>
      </c>
      <c r="D185" s="13">
        <v>1230</v>
      </c>
      <c r="F185" s="699" t="s">
        <v>12002</v>
      </c>
      <c r="G185" s="1"/>
      <c r="I185" s="1"/>
    </row>
    <row r="186" spans="1:9">
      <c r="A186" s="708">
        <v>21</v>
      </c>
      <c r="B186" s="699" t="s">
        <v>12227</v>
      </c>
      <c r="C186" s="1" t="s">
        <v>12228</v>
      </c>
      <c r="D186" s="13">
        <v>2052</v>
      </c>
      <c r="F186" s="699" t="s">
        <v>12002</v>
      </c>
      <c r="G186" s="1"/>
      <c r="I186" s="1"/>
    </row>
    <row r="187" spans="1:9">
      <c r="A187" s="708">
        <v>22</v>
      </c>
      <c r="B187" s="699" t="s">
        <v>12229</v>
      </c>
      <c r="C187" s="1" t="s">
        <v>12230</v>
      </c>
      <c r="D187" s="13">
        <v>3178</v>
      </c>
      <c r="F187" s="699" t="s">
        <v>12002</v>
      </c>
      <c r="G187" s="1"/>
      <c r="I187" s="1"/>
    </row>
    <row r="188" spans="1:9">
      <c r="A188" s="708">
        <v>23</v>
      </c>
      <c r="B188" s="699" t="s">
        <v>12231</v>
      </c>
      <c r="C188" s="1" t="s">
        <v>12232</v>
      </c>
      <c r="D188" s="13">
        <v>1025</v>
      </c>
      <c r="F188" s="699" t="s">
        <v>12002</v>
      </c>
      <c r="G188" s="1"/>
      <c r="I188" s="1"/>
    </row>
    <row r="189" spans="1:9">
      <c r="A189" s="708">
        <v>24</v>
      </c>
      <c r="B189" s="699" t="s">
        <v>12233</v>
      </c>
      <c r="C189" s="1" t="s">
        <v>12234</v>
      </c>
      <c r="D189" s="13">
        <v>1905</v>
      </c>
      <c r="F189" s="699" t="s">
        <v>12002</v>
      </c>
      <c r="G189" s="1"/>
      <c r="I189" s="1"/>
    </row>
    <row r="190" spans="1:9">
      <c r="A190" s="708">
        <v>25</v>
      </c>
      <c r="B190" s="699" t="s">
        <v>12235</v>
      </c>
      <c r="C190" s="1" t="s">
        <v>12236</v>
      </c>
      <c r="D190" s="13">
        <v>2163</v>
      </c>
      <c r="F190" s="699" t="s">
        <v>12002</v>
      </c>
      <c r="G190" s="1"/>
      <c r="I190" s="1"/>
    </row>
    <row r="191" spans="1:9">
      <c r="A191" s="708">
        <v>26</v>
      </c>
      <c r="B191" s="699" t="s">
        <v>12237</v>
      </c>
      <c r="C191" s="1" t="s">
        <v>12238</v>
      </c>
      <c r="D191" s="13">
        <v>753</v>
      </c>
      <c r="F191" s="699" t="s">
        <v>12005</v>
      </c>
      <c r="G191" s="1"/>
      <c r="I191" s="1"/>
    </row>
    <row r="192" spans="1:9">
      <c r="A192" s="708">
        <v>27</v>
      </c>
      <c r="B192" s="699" t="s">
        <v>12239</v>
      </c>
      <c r="C192" s="1" t="s">
        <v>12240</v>
      </c>
      <c r="D192" s="13">
        <v>1077</v>
      </c>
      <c r="F192" s="699" t="s">
        <v>12002</v>
      </c>
      <c r="G192" s="1"/>
      <c r="I192" s="1"/>
    </row>
    <row r="193" spans="1:9">
      <c r="A193" s="708">
        <v>28</v>
      </c>
      <c r="B193" s="699" t="s">
        <v>6130</v>
      </c>
      <c r="C193" s="1" t="s">
        <v>12241</v>
      </c>
      <c r="D193" s="13">
        <v>1203</v>
      </c>
      <c r="F193" s="699" t="s">
        <v>12002</v>
      </c>
      <c r="G193" s="1"/>
      <c r="I193" s="1"/>
    </row>
    <row r="194" spans="1:9">
      <c r="A194" s="708">
        <v>29</v>
      </c>
      <c r="B194" s="699" t="s">
        <v>12242</v>
      </c>
      <c r="C194" s="1" t="s">
        <v>12243</v>
      </c>
      <c r="D194" s="13">
        <v>1009</v>
      </c>
      <c r="F194" s="699" t="s">
        <v>12002</v>
      </c>
      <c r="G194" s="1"/>
      <c r="I194" s="1"/>
    </row>
    <row r="195" spans="1:9">
      <c r="A195" s="708">
        <v>30</v>
      </c>
      <c r="B195" s="699" t="s">
        <v>12244</v>
      </c>
      <c r="C195" s="1" t="s">
        <v>12245</v>
      </c>
      <c r="D195" s="13">
        <v>1081</v>
      </c>
      <c r="F195" s="699" t="s">
        <v>12005</v>
      </c>
      <c r="G195" s="1"/>
      <c r="I195" s="1"/>
    </row>
    <row r="196" spans="1:9">
      <c r="D196" s="703"/>
    </row>
    <row r="197" spans="1:9">
      <c r="A197" s="699" t="s">
        <v>12062</v>
      </c>
      <c r="D197" s="702">
        <f>D166+D169+SUM(D171:D176)+SUM(D178:D183)+SUM(D185:D190)+SUM(D192:D194)</f>
        <v>32151</v>
      </c>
    </row>
    <row r="198" spans="1:9">
      <c r="A198" s="699" t="s">
        <v>12246</v>
      </c>
      <c r="D198" s="702">
        <f>D167+D168+D170+D177+D184+D191+D195</f>
        <v>8283</v>
      </c>
    </row>
    <row r="199" spans="1:9">
      <c r="D199" s="709"/>
    </row>
    <row r="200" spans="1:9">
      <c r="A200" s="700" t="s">
        <v>12247</v>
      </c>
      <c r="D200" s="709"/>
    </row>
    <row r="201" spans="1:9">
      <c r="A201" s="699"/>
      <c r="B201" s="699"/>
      <c r="D201" s="709"/>
    </row>
    <row r="202" spans="1:9">
      <c r="A202" s="699"/>
      <c r="B202" s="699"/>
      <c r="D202" s="710"/>
    </row>
    <row r="203" spans="1:9">
      <c r="D203" s="10" t="s">
        <v>285</v>
      </c>
      <c r="E203" s="249"/>
      <c r="F203" s="38" t="s">
        <v>4116</v>
      </c>
    </row>
    <row r="204" spans="1:9">
      <c r="D204" s="39">
        <v>2016</v>
      </c>
      <c r="E204" s="40"/>
      <c r="F204" s="41" t="s">
        <v>286</v>
      </c>
    </row>
    <row r="205" spans="1:9">
      <c r="A205" s="699" t="s">
        <v>12248</v>
      </c>
      <c r="D205" s="702">
        <f>SUM(D206:D250)</f>
        <v>79163</v>
      </c>
    </row>
    <row r="206" spans="1:9">
      <c r="A206" s="708">
        <v>1</v>
      </c>
      <c r="B206" s="699" t="s">
        <v>12249</v>
      </c>
      <c r="C206" s="1" t="s">
        <v>12250</v>
      </c>
      <c r="D206" s="13">
        <v>2783</v>
      </c>
      <c r="F206" s="699" t="s">
        <v>12005</v>
      </c>
      <c r="G206" s="1"/>
      <c r="I206" s="1"/>
    </row>
    <row r="207" spans="1:9">
      <c r="A207" s="708">
        <v>2</v>
      </c>
      <c r="B207" s="699" t="s">
        <v>12251</v>
      </c>
      <c r="C207" s="1" t="s">
        <v>12252</v>
      </c>
      <c r="D207" s="13">
        <v>3394</v>
      </c>
      <c r="F207" s="699" t="s">
        <v>12005</v>
      </c>
      <c r="G207" s="1"/>
      <c r="I207" s="1"/>
    </row>
    <row r="208" spans="1:9">
      <c r="A208" s="708">
        <v>3</v>
      </c>
      <c r="B208" s="699" t="s">
        <v>12253</v>
      </c>
      <c r="C208" s="1" t="s">
        <v>12254</v>
      </c>
      <c r="D208" s="13">
        <v>1782</v>
      </c>
      <c r="F208" s="699" t="s">
        <v>11998</v>
      </c>
      <c r="G208" s="1"/>
      <c r="I208" s="1"/>
    </row>
    <row r="209" spans="1:9">
      <c r="A209" s="708">
        <v>4</v>
      </c>
      <c r="B209" s="699" t="s">
        <v>12255</v>
      </c>
      <c r="C209" s="1" t="s">
        <v>12256</v>
      </c>
      <c r="D209" s="13">
        <v>1625</v>
      </c>
      <c r="F209" s="699" t="s">
        <v>12005</v>
      </c>
      <c r="G209" s="1"/>
      <c r="I209" s="1"/>
    </row>
    <row r="210" spans="1:9">
      <c r="A210" s="708">
        <v>5</v>
      </c>
      <c r="B210" s="699" t="s">
        <v>12257</v>
      </c>
      <c r="C210" s="1" t="s">
        <v>12258</v>
      </c>
      <c r="D210" s="13">
        <v>2901</v>
      </c>
      <c r="F210" s="699" t="s">
        <v>12005</v>
      </c>
      <c r="G210" s="1"/>
      <c r="I210" s="1"/>
    </row>
    <row r="211" spans="1:9">
      <c r="A211" s="708">
        <v>6</v>
      </c>
      <c r="B211" s="699" t="s">
        <v>12259</v>
      </c>
      <c r="C211" s="1" t="s">
        <v>12260</v>
      </c>
      <c r="D211" s="13">
        <v>1531</v>
      </c>
      <c r="F211" s="699" t="s">
        <v>12005</v>
      </c>
      <c r="G211" s="1"/>
      <c r="I211" s="1"/>
    </row>
    <row r="212" spans="1:9">
      <c r="A212" s="708">
        <v>7</v>
      </c>
      <c r="B212" s="699" t="s">
        <v>12261</v>
      </c>
      <c r="C212" s="1" t="s">
        <v>12262</v>
      </c>
      <c r="D212" s="13">
        <v>1264</v>
      </c>
      <c r="F212" s="699" t="s">
        <v>12005</v>
      </c>
      <c r="G212" s="1"/>
      <c r="I212" s="1"/>
    </row>
    <row r="213" spans="1:9">
      <c r="A213" s="708">
        <v>8</v>
      </c>
      <c r="B213" s="699" t="s">
        <v>12263</v>
      </c>
      <c r="C213" s="1" t="s">
        <v>12264</v>
      </c>
      <c r="D213" s="13">
        <v>1761</v>
      </c>
      <c r="F213" s="699" t="s">
        <v>12005</v>
      </c>
      <c r="G213" s="1"/>
      <c r="I213" s="1"/>
    </row>
    <row r="214" spans="1:9">
      <c r="A214" s="708">
        <v>9</v>
      </c>
      <c r="B214" s="699" t="s">
        <v>12265</v>
      </c>
      <c r="C214" s="1" t="s">
        <v>12266</v>
      </c>
      <c r="D214" s="13">
        <v>1754</v>
      </c>
      <c r="F214" s="699" t="s">
        <v>12005</v>
      </c>
      <c r="G214" s="1"/>
      <c r="I214" s="1"/>
    </row>
    <row r="215" spans="1:9">
      <c r="A215" s="708">
        <v>10</v>
      </c>
      <c r="B215" s="699" t="s">
        <v>12267</v>
      </c>
      <c r="C215" s="1" t="s">
        <v>12268</v>
      </c>
      <c r="D215" s="13">
        <v>1488</v>
      </c>
      <c r="F215" s="699" t="s">
        <v>12005</v>
      </c>
      <c r="G215" s="1"/>
      <c r="I215" s="1"/>
    </row>
    <row r="216" spans="1:9">
      <c r="A216" s="708">
        <v>11</v>
      </c>
      <c r="B216" s="699" t="s">
        <v>12269</v>
      </c>
      <c r="C216" s="1" t="s">
        <v>12270</v>
      </c>
      <c r="D216" s="13">
        <v>1406</v>
      </c>
      <c r="F216" s="699" t="s">
        <v>12005</v>
      </c>
      <c r="G216" s="1"/>
      <c r="I216" s="1"/>
    </row>
    <row r="217" spans="1:9">
      <c r="A217" s="708">
        <v>12</v>
      </c>
      <c r="B217" s="699" t="s">
        <v>12271</v>
      </c>
      <c r="C217" s="1" t="s">
        <v>12272</v>
      </c>
      <c r="D217" s="13">
        <v>1522</v>
      </c>
      <c r="F217" s="699" t="s">
        <v>12005</v>
      </c>
      <c r="G217" s="1"/>
      <c r="I217" s="1"/>
    </row>
    <row r="218" spans="1:9">
      <c r="A218" s="708">
        <v>13</v>
      </c>
      <c r="B218" s="699" t="s">
        <v>12273</v>
      </c>
      <c r="C218" s="1" t="s">
        <v>12274</v>
      </c>
      <c r="D218" s="13">
        <v>1443</v>
      </c>
      <c r="F218" s="699" t="s">
        <v>12005</v>
      </c>
      <c r="G218" s="1"/>
      <c r="I218" s="1"/>
    </row>
    <row r="219" spans="1:9">
      <c r="A219" s="708">
        <v>14</v>
      </c>
      <c r="B219" s="699" t="s">
        <v>12275</v>
      </c>
      <c r="C219" s="1" t="s">
        <v>12276</v>
      </c>
      <c r="D219" s="13">
        <v>1651</v>
      </c>
      <c r="F219" s="699" t="s">
        <v>12005</v>
      </c>
      <c r="G219" s="1"/>
      <c r="I219" s="1"/>
    </row>
    <row r="220" spans="1:9">
      <c r="A220" s="708">
        <v>15</v>
      </c>
      <c r="B220" s="699" t="s">
        <v>12277</v>
      </c>
      <c r="C220" s="1" t="s">
        <v>12278</v>
      </c>
      <c r="D220" s="13">
        <v>1572</v>
      </c>
      <c r="F220" s="699" t="s">
        <v>12005</v>
      </c>
      <c r="G220" s="1"/>
      <c r="I220" s="1"/>
    </row>
    <row r="221" spans="1:9">
      <c r="A221" s="708">
        <v>16</v>
      </c>
      <c r="B221" s="699" t="s">
        <v>12279</v>
      </c>
      <c r="C221" s="1" t="s">
        <v>12280</v>
      </c>
      <c r="D221" s="13">
        <v>1504</v>
      </c>
      <c r="F221" s="699" t="s">
        <v>12005</v>
      </c>
      <c r="G221" s="1"/>
      <c r="I221" s="1"/>
    </row>
    <row r="222" spans="1:9">
      <c r="A222" s="708">
        <v>17</v>
      </c>
      <c r="B222" s="699" t="s">
        <v>12281</v>
      </c>
      <c r="C222" s="1" t="s">
        <v>12282</v>
      </c>
      <c r="D222" s="13">
        <v>1577</v>
      </c>
      <c r="F222" s="699" t="s">
        <v>12005</v>
      </c>
      <c r="G222" s="1"/>
      <c r="I222" s="1"/>
    </row>
    <row r="223" spans="1:9">
      <c r="A223" s="708">
        <v>18</v>
      </c>
      <c r="B223" s="700" t="s">
        <v>12283</v>
      </c>
      <c r="C223" s="1" t="s">
        <v>12284</v>
      </c>
      <c r="D223" s="13">
        <v>1591</v>
      </c>
      <c r="F223" s="699" t="s">
        <v>12005</v>
      </c>
      <c r="G223" s="1"/>
      <c r="I223" s="1"/>
    </row>
    <row r="224" spans="1:9">
      <c r="A224" s="708">
        <v>19</v>
      </c>
      <c r="B224" s="699" t="s">
        <v>12285</v>
      </c>
      <c r="C224" s="1" t="s">
        <v>12286</v>
      </c>
      <c r="D224" s="13">
        <v>1525</v>
      </c>
      <c r="F224" s="699" t="s">
        <v>12005</v>
      </c>
      <c r="G224" s="1"/>
      <c r="I224" s="1"/>
    </row>
    <row r="225" spans="1:9">
      <c r="A225" s="708">
        <v>20</v>
      </c>
      <c r="B225" s="699" t="s">
        <v>12287</v>
      </c>
      <c r="C225" s="1" t="s">
        <v>12288</v>
      </c>
      <c r="D225" s="13">
        <v>1602</v>
      </c>
      <c r="F225" s="699" t="s">
        <v>12005</v>
      </c>
      <c r="G225" s="1"/>
      <c r="I225" s="1"/>
    </row>
    <row r="226" spans="1:9">
      <c r="A226" s="708">
        <v>21</v>
      </c>
      <c r="B226" s="699" t="s">
        <v>12289</v>
      </c>
      <c r="C226" s="1" t="s">
        <v>12290</v>
      </c>
      <c r="D226" s="13">
        <v>1689</v>
      </c>
      <c r="F226" s="699" t="s">
        <v>12005</v>
      </c>
      <c r="G226" s="1"/>
      <c r="I226" s="1"/>
    </row>
    <row r="227" spans="1:9">
      <c r="A227" s="708">
        <v>22</v>
      </c>
      <c r="B227" s="700" t="s">
        <v>12291</v>
      </c>
      <c r="C227" s="1" t="s">
        <v>12292</v>
      </c>
      <c r="D227" s="13">
        <v>1586</v>
      </c>
      <c r="F227" s="699" t="s">
        <v>12005</v>
      </c>
      <c r="G227" s="1"/>
      <c r="I227" s="1"/>
    </row>
    <row r="228" spans="1:9">
      <c r="A228" s="708">
        <v>23</v>
      </c>
      <c r="B228" s="699" t="s">
        <v>12293</v>
      </c>
      <c r="C228" s="1" t="s">
        <v>12294</v>
      </c>
      <c r="D228" s="13">
        <v>1718</v>
      </c>
      <c r="F228" s="699" t="s">
        <v>12005</v>
      </c>
      <c r="G228" s="1"/>
      <c r="I228" s="1"/>
    </row>
    <row r="229" spans="1:9">
      <c r="A229" s="708">
        <v>24</v>
      </c>
      <c r="B229" s="699" t="s">
        <v>12295</v>
      </c>
      <c r="C229" s="1" t="s">
        <v>12296</v>
      </c>
      <c r="D229" s="13">
        <v>1586</v>
      </c>
      <c r="F229" s="699" t="s">
        <v>12005</v>
      </c>
      <c r="G229" s="1"/>
      <c r="I229" s="1"/>
    </row>
    <row r="230" spans="1:9">
      <c r="A230" s="708">
        <v>25</v>
      </c>
      <c r="B230" s="699" t="s">
        <v>12297</v>
      </c>
      <c r="C230" s="1" t="s">
        <v>12298</v>
      </c>
      <c r="D230" s="13">
        <v>1498</v>
      </c>
      <c r="F230" s="699" t="s">
        <v>12005</v>
      </c>
      <c r="G230" s="1"/>
      <c r="I230" s="1"/>
    </row>
    <row r="231" spans="1:9">
      <c r="A231" s="708">
        <v>26</v>
      </c>
      <c r="B231" s="699" t="s">
        <v>12299</v>
      </c>
      <c r="C231" s="1" t="s">
        <v>12300</v>
      </c>
      <c r="D231" s="13">
        <v>1597</v>
      </c>
      <c r="F231" s="699" t="s">
        <v>12005</v>
      </c>
      <c r="G231" s="1"/>
      <c r="I231" s="1"/>
    </row>
    <row r="232" spans="1:9">
      <c r="A232" s="708">
        <v>27</v>
      </c>
      <c r="B232" s="699" t="s">
        <v>12301</v>
      </c>
      <c r="C232" s="1" t="s">
        <v>12302</v>
      </c>
      <c r="D232" s="13">
        <v>1688</v>
      </c>
      <c r="F232" s="699" t="s">
        <v>12005</v>
      </c>
      <c r="G232" s="1"/>
      <c r="I232" s="1"/>
    </row>
    <row r="233" spans="1:9">
      <c r="A233" s="708">
        <v>28</v>
      </c>
      <c r="B233" s="699" t="s">
        <v>12303</v>
      </c>
      <c r="C233" s="1" t="s">
        <v>12304</v>
      </c>
      <c r="D233" s="13">
        <v>1411</v>
      </c>
      <c r="F233" s="699" t="s">
        <v>11998</v>
      </c>
      <c r="G233" s="1"/>
      <c r="I233" s="1"/>
    </row>
    <row r="234" spans="1:9">
      <c r="A234" s="708">
        <v>29</v>
      </c>
      <c r="B234" s="699" t="s">
        <v>12305</v>
      </c>
      <c r="C234" s="1" t="s">
        <v>12306</v>
      </c>
      <c r="D234" s="13">
        <v>1812</v>
      </c>
      <c r="F234" s="699" t="s">
        <v>12005</v>
      </c>
      <c r="G234" s="1"/>
      <c r="I234" s="1"/>
    </row>
    <row r="235" spans="1:9">
      <c r="A235" s="708">
        <v>30</v>
      </c>
      <c r="B235" s="699" t="s">
        <v>12307</v>
      </c>
      <c r="C235" s="1" t="s">
        <v>12308</v>
      </c>
      <c r="D235" s="13">
        <v>3083</v>
      </c>
      <c r="F235" s="699" t="s">
        <v>11998</v>
      </c>
      <c r="G235" s="1"/>
      <c r="I235" s="1"/>
    </row>
    <row r="236" spans="1:9">
      <c r="A236" s="708">
        <v>31</v>
      </c>
      <c r="B236" s="699" t="s">
        <v>12309</v>
      </c>
      <c r="C236" s="1" t="s">
        <v>12310</v>
      </c>
      <c r="D236" s="13">
        <v>1626</v>
      </c>
      <c r="F236" s="699" t="s">
        <v>12005</v>
      </c>
      <c r="G236" s="1"/>
      <c r="I236" s="1"/>
    </row>
    <row r="237" spans="1:9">
      <c r="A237" s="708">
        <v>32</v>
      </c>
      <c r="B237" s="699" t="s">
        <v>12311</v>
      </c>
      <c r="C237" s="1" t="s">
        <v>12312</v>
      </c>
      <c r="D237" s="13">
        <v>4705</v>
      </c>
      <c r="F237" s="699" t="s">
        <v>12005</v>
      </c>
      <c r="G237" s="1"/>
      <c r="I237" s="1"/>
    </row>
    <row r="238" spans="1:9">
      <c r="A238" s="708">
        <v>33</v>
      </c>
      <c r="B238" s="700" t="s">
        <v>12313</v>
      </c>
      <c r="C238" s="1" t="s">
        <v>12314</v>
      </c>
      <c r="D238" s="13">
        <v>1550</v>
      </c>
      <c r="F238" s="699" t="s">
        <v>12005</v>
      </c>
      <c r="G238" s="1"/>
      <c r="I238" s="1"/>
    </row>
    <row r="239" spans="1:9">
      <c r="A239" s="708">
        <v>34</v>
      </c>
      <c r="B239" s="699" t="s">
        <v>12315</v>
      </c>
      <c r="C239" s="1" t="s">
        <v>12316</v>
      </c>
      <c r="D239" s="13">
        <v>1636</v>
      </c>
      <c r="F239" s="699" t="s">
        <v>12005</v>
      </c>
      <c r="G239" s="1"/>
      <c r="I239" s="1"/>
    </row>
    <row r="240" spans="1:9">
      <c r="A240" s="708">
        <v>35</v>
      </c>
      <c r="B240" s="699" t="s">
        <v>12317</v>
      </c>
      <c r="C240" s="1" t="s">
        <v>12318</v>
      </c>
      <c r="D240" s="13">
        <v>1387</v>
      </c>
      <c r="F240" s="699" t="s">
        <v>11998</v>
      </c>
      <c r="G240" s="1"/>
      <c r="I240" s="1"/>
    </row>
    <row r="241" spans="1:9">
      <c r="A241" s="708">
        <v>36</v>
      </c>
      <c r="B241" s="699" t="s">
        <v>12319</v>
      </c>
      <c r="C241" s="1" t="s">
        <v>12320</v>
      </c>
      <c r="D241" s="13">
        <v>1552</v>
      </c>
      <c r="F241" s="699" t="s">
        <v>11998</v>
      </c>
      <c r="G241" s="1"/>
      <c r="I241" s="1"/>
    </row>
    <row r="242" spans="1:9">
      <c r="A242" s="708">
        <v>37</v>
      </c>
      <c r="B242" s="699" t="s">
        <v>12321</v>
      </c>
      <c r="C242" s="1" t="s">
        <v>12322</v>
      </c>
      <c r="D242" s="13">
        <v>1521</v>
      </c>
      <c r="F242" s="699" t="s">
        <v>11998</v>
      </c>
      <c r="G242" s="1"/>
      <c r="I242" s="1"/>
    </row>
    <row r="243" spans="1:9">
      <c r="A243" s="708">
        <v>38</v>
      </c>
      <c r="B243" s="699" t="s">
        <v>12323</v>
      </c>
      <c r="C243" s="1" t="s">
        <v>12324</v>
      </c>
      <c r="D243" s="13">
        <v>1453</v>
      </c>
      <c r="F243" s="699" t="s">
        <v>11998</v>
      </c>
      <c r="G243" s="1"/>
      <c r="I243" s="1"/>
    </row>
    <row r="244" spans="1:9">
      <c r="A244" s="708">
        <v>39</v>
      </c>
      <c r="B244" s="699" t="s">
        <v>12325</v>
      </c>
      <c r="C244" s="1" t="s">
        <v>12326</v>
      </c>
      <c r="D244" s="13">
        <v>1421</v>
      </c>
      <c r="F244" s="699" t="s">
        <v>11998</v>
      </c>
      <c r="G244" s="1"/>
      <c r="I244" s="1"/>
    </row>
    <row r="245" spans="1:9">
      <c r="A245" s="708">
        <v>40</v>
      </c>
      <c r="B245" s="699" t="s">
        <v>12327</v>
      </c>
      <c r="C245" s="1" t="s">
        <v>12328</v>
      </c>
      <c r="D245" s="13">
        <v>1465</v>
      </c>
      <c r="F245" s="699" t="s">
        <v>11998</v>
      </c>
      <c r="G245" s="1"/>
      <c r="I245" s="1"/>
    </row>
    <row r="246" spans="1:9">
      <c r="A246" s="708">
        <v>41</v>
      </c>
      <c r="B246" s="699" t="s">
        <v>12329</v>
      </c>
      <c r="C246" s="1" t="s">
        <v>12330</v>
      </c>
      <c r="D246" s="13">
        <v>1529</v>
      </c>
      <c r="F246" s="699" t="s">
        <v>12005</v>
      </c>
      <c r="G246" s="1"/>
      <c r="I246" s="1"/>
    </row>
    <row r="247" spans="1:9">
      <c r="A247" s="708">
        <v>42</v>
      </c>
      <c r="B247" s="699" t="s">
        <v>12331</v>
      </c>
      <c r="C247" s="1" t="s">
        <v>12332</v>
      </c>
      <c r="D247" s="13">
        <v>1520</v>
      </c>
      <c r="F247" s="699" t="s">
        <v>12005</v>
      </c>
      <c r="G247" s="1"/>
      <c r="I247" s="1"/>
    </row>
    <row r="248" spans="1:9">
      <c r="A248" s="708">
        <v>43</v>
      </c>
      <c r="B248" s="699" t="s">
        <v>12333</v>
      </c>
      <c r="C248" s="1" t="s">
        <v>12334</v>
      </c>
      <c r="D248" s="13">
        <v>1538</v>
      </c>
      <c r="F248" s="699" t="s">
        <v>12005</v>
      </c>
      <c r="G248" s="1"/>
      <c r="I248" s="1"/>
    </row>
    <row r="249" spans="1:9">
      <c r="A249" s="708">
        <v>44</v>
      </c>
      <c r="B249" s="699" t="s">
        <v>12335</v>
      </c>
      <c r="C249" s="1" t="s">
        <v>12336</v>
      </c>
      <c r="D249" s="13">
        <v>1365</v>
      </c>
      <c r="F249" s="699" t="s">
        <v>12005</v>
      </c>
      <c r="G249" s="1"/>
      <c r="I249" s="1"/>
    </row>
    <row r="250" spans="1:9">
      <c r="A250" s="708">
        <v>45</v>
      </c>
      <c r="B250" s="699" t="s">
        <v>12337</v>
      </c>
      <c r="C250" s="1" t="s">
        <v>12338</v>
      </c>
      <c r="D250" s="13">
        <v>1551</v>
      </c>
      <c r="F250" s="699" t="s">
        <v>12005</v>
      </c>
      <c r="G250" s="1"/>
      <c r="I250" s="1"/>
    </row>
    <row r="251" spans="1:9">
      <c r="D251" s="703"/>
    </row>
    <row r="252" spans="1:9">
      <c r="A252" s="699" t="s">
        <v>12090</v>
      </c>
      <c r="D252" s="702">
        <f>D208+D233+D235+SUM(D240:D245)</f>
        <v>15075</v>
      </c>
    </row>
    <row r="253" spans="1:9">
      <c r="A253" s="699" t="s">
        <v>12005</v>
      </c>
      <c r="D253" s="702">
        <f>D206+D207+SUM(D209:D211)+D212+SUM(D213:D232)+D234+SUM(D236:D239)+SUM(D246:D250)</f>
        <v>64088</v>
      </c>
    </row>
    <row r="254" spans="1:9">
      <c r="D254" s="709"/>
    </row>
    <row r="255" spans="1:9">
      <c r="A255" s="700" t="s">
        <v>12339</v>
      </c>
      <c r="D255" s="709"/>
    </row>
  </sheetData>
  <printOptions gridLinesSet="0"/>
  <pageMargins left="0.78740157480314965" right="0" top="0.51181102362204722" bottom="0.51181102362204722" header="0.51181102362204722" footer="0.51181102362204722"/>
  <pageSetup paperSize="9" scale="71" orientation="portrait" horizontalDpi="300" verticalDpi="300" r:id="rId1"/>
  <headerFooter alignWithMargins="0">
    <oddFooter>&amp;C&amp;"Times New Roman,Regular"&amp;8&amp;P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515"/>
  <sheetViews>
    <sheetView showGridLines="0" zoomScale="90" zoomScaleNormal="90" workbookViewId="0"/>
  </sheetViews>
  <sheetFormatPr defaultColWidth="12.59765625" defaultRowHeight="14.5"/>
  <cols>
    <col min="1" max="1" width="45" style="56" customWidth="1"/>
    <col min="2" max="2" width="11" style="56" customWidth="1"/>
    <col min="3" max="3" width="12.59765625" style="56" customWidth="1"/>
    <col min="4" max="4" width="12.59765625" style="56"/>
    <col min="5" max="5" width="11.296875" style="56" customWidth="1"/>
    <col min="6" max="16384" width="12.59765625" style="56"/>
  </cols>
  <sheetData>
    <row r="1" spans="1:7">
      <c r="A1" s="127" t="s">
        <v>4034</v>
      </c>
      <c r="B1" s="128">
        <v>2016</v>
      </c>
      <c r="C1" s="129"/>
      <c r="D1" s="130" t="s">
        <v>2061</v>
      </c>
      <c r="E1" s="55"/>
    </row>
    <row r="3" spans="1:7">
      <c r="A3" s="54" t="str">
        <f>LANCASHIRE!A21</f>
        <v>Accrington CC</v>
      </c>
      <c r="B3" s="57">
        <f>LANCASHIRE!D23</f>
        <v>72513</v>
      </c>
      <c r="C3" s="57">
        <f t="shared" ref="C3:C66" si="0">B3-$B$511</f>
        <v>-2256</v>
      </c>
      <c r="D3" s="58">
        <f t="shared" ref="D3:D66" si="1">(B3-$B$511)/$B$511</f>
        <v>-3.0172932632508125E-2</v>
      </c>
      <c r="E3" s="59"/>
      <c r="G3" s="59"/>
    </row>
    <row r="4" spans="1:7">
      <c r="A4" s="54" t="str">
        <f>HAMPSHIRE!A20</f>
        <v>Aldershot BC</v>
      </c>
      <c r="B4" s="57">
        <f>HAMPSHIRE!D22</f>
        <v>74715</v>
      </c>
      <c r="C4" s="57">
        <f t="shared" si="0"/>
        <v>-54</v>
      </c>
      <c r="D4" s="58">
        <f t="shared" si="1"/>
        <v>-7.2222445131003496E-4</v>
      </c>
      <c r="E4" s="59"/>
      <c r="G4" s="59"/>
    </row>
    <row r="5" spans="1:7">
      <c r="A5" s="54" t="str">
        <f>'WEST MIDLANDS'!A13</f>
        <v>Aldridge, Brownhills and Bloxwich BC</v>
      </c>
      <c r="B5" s="57">
        <f>'WEST MIDLANDS'!D13</f>
        <v>76572</v>
      </c>
      <c r="C5" s="57">
        <f t="shared" si="0"/>
        <v>1803</v>
      </c>
      <c r="D5" s="58">
        <f t="shared" si="1"/>
        <v>2.41142719576295E-2</v>
      </c>
      <c r="E5" s="59"/>
      <c r="G5" s="59"/>
    </row>
    <row r="6" spans="1:7">
      <c r="A6" s="54" t="str">
        <f>DERBYSHIRE!A16</f>
        <v>Alfreton and Clay Cross CC</v>
      </c>
      <c r="B6" s="57">
        <f>DERBYSHIRE!D19</f>
        <v>77557</v>
      </c>
      <c r="C6" s="57">
        <f t="shared" si="0"/>
        <v>2788</v>
      </c>
      <c r="D6" s="58">
        <f t="shared" si="1"/>
        <v>3.7288180930599581E-2</v>
      </c>
      <c r="E6" s="59"/>
      <c r="G6" s="59"/>
    </row>
    <row r="7" spans="1:7">
      <c r="A7" s="54" t="str">
        <f>'GREATER MANCHESTER'!A16</f>
        <v>Altrincham and Tatton Park CC</v>
      </c>
      <c r="B7" s="57">
        <f>'GREATER MANCHESTER'!D18</f>
        <v>77647</v>
      </c>
      <c r="C7" s="57">
        <f t="shared" si="0"/>
        <v>2878</v>
      </c>
      <c r="D7" s="58">
        <f t="shared" si="1"/>
        <v>3.8491888349449638E-2</v>
      </c>
      <c r="E7" s="59"/>
      <c r="G7" s="59"/>
    </row>
    <row r="8" spans="1:7">
      <c r="A8" s="54" t="str">
        <f>DERBYSHIRE!A21</f>
        <v>Amber Valley CC</v>
      </c>
      <c r="B8" s="57">
        <f>DERBYSHIRE!D24</f>
        <v>73929</v>
      </c>
      <c r="C8" s="57">
        <f t="shared" si="0"/>
        <v>-840</v>
      </c>
      <c r="D8" s="58">
        <f t="shared" si="1"/>
        <v>-1.1234602575933877E-2</v>
      </c>
      <c r="E8" s="59"/>
      <c r="G8" s="59"/>
    </row>
    <row r="9" spans="1:7">
      <c r="A9" s="54" t="str">
        <f>'WEST SUSSEX'!A13</f>
        <v>Arundel and South Downs CC</v>
      </c>
      <c r="B9" s="57">
        <f>'WEST SUSSEX'!D17</f>
        <v>74331</v>
      </c>
      <c r="C9" s="57">
        <f t="shared" si="0"/>
        <v>-438</v>
      </c>
      <c r="D9" s="58">
        <f t="shared" si="1"/>
        <v>-5.8580427717369495E-3</v>
      </c>
      <c r="E9" s="59"/>
      <c r="G9" s="59"/>
    </row>
    <row r="10" spans="1:7">
      <c r="A10" s="54" t="str">
        <f>NOTTINGHAMSHIRE!A15</f>
        <v>Ashfield CC</v>
      </c>
      <c r="B10" s="57">
        <f>NOTTINGHAMSHIRE!D17</f>
        <v>76418</v>
      </c>
      <c r="C10" s="57">
        <f t="shared" si="0"/>
        <v>1649</v>
      </c>
      <c r="D10" s="58">
        <f t="shared" si="1"/>
        <v>2.2054594818708289E-2</v>
      </c>
      <c r="E10" s="59"/>
      <c r="G10" s="59"/>
    </row>
    <row r="11" spans="1:7">
      <c r="A11" s="54" t="str">
        <f>KENT!A20</f>
        <v>Ashford CC</v>
      </c>
      <c r="B11" s="57">
        <f>KENT!D20</f>
        <v>71303</v>
      </c>
      <c r="C11" s="57">
        <f t="shared" si="0"/>
        <v>-3466</v>
      </c>
      <c r="D11" s="58">
        <f t="shared" si="1"/>
        <v>-4.6356110152603353E-2</v>
      </c>
      <c r="E11" s="59"/>
      <c r="G11" s="59"/>
    </row>
    <row r="12" spans="1:7">
      <c r="A12" s="54" t="str">
        <f>'GREATER MANCHESTER'!A20</f>
        <v>Ashton-under-Lyne BC</v>
      </c>
      <c r="B12" s="57">
        <f>'GREATER MANCHESTER'!D20</f>
        <v>76869</v>
      </c>
      <c r="C12" s="57">
        <f t="shared" si="0"/>
        <v>2100</v>
      </c>
      <c r="D12" s="58">
        <f t="shared" si="1"/>
        <v>2.808650643983469E-2</v>
      </c>
      <c r="E12" s="59"/>
      <c r="G12" s="59"/>
    </row>
    <row r="13" spans="1:7">
      <c r="A13" s="54" t="str">
        <f>BUCKINGHAMSHIRE!A12</f>
        <v>Aylesbury CC</v>
      </c>
      <c r="B13" s="57">
        <f>BUCKINGHAMSHIRE!D12</f>
        <v>77715</v>
      </c>
      <c r="C13" s="57">
        <f t="shared" si="0"/>
        <v>2946</v>
      </c>
      <c r="D13" s="58">
        <f t="shared" si="1"/>
        <v>3.940135617702524E-2</v>
      </c>
      <c r="E13" s="59"/>
      <c r="G13" s="59"/>
    </row>
    <row r="14" spans="1:7">
      <c r="A14" s="54" t="str">
        <f>OXFORDSHIRE!A11</f>
        <v>Banbury and Bicester CC</v>
      </c>
      <c r="B14" s="57">
        <f>OXFORDSHIRE!D11</f>
        <v>78250</v>
      </c>
      <c r="C14" s="57">
        <f t="shared" si="0"/>
        <v>3481</v>
      </c>
      <c r="D14" s="58">
        <f t="shared" si="1"/>
        <v>4.6556728055745025E-2</v>
      </c>
      <c r="E14" s="59"/>
      <c r="G14" s="59"/>
    </row>
    <row r="15" spans="1:7">
      <c r="A15" s="54" t="str">
        <f>BARKING!A5</f>
        <v>Barking BC</v>
      </c>
      <c r="B15" s="57">
        <f>BARKING!D7</f>
        <v>76530</v>
      </c>
      <c r="C15" s="57">
        <f t="shared" si="0"/>
        <v>1761</v>
      </c>
      <c r="D15" s="58">
        <f t="shared" si="1"/>
        <v>2.3552541828832804E-2</v>
      </c>
      <c r="E15" s="59"/>
      <c r="G15" s="59"/>
    </row>
    <row r="16" spans="1:7">
      <c r="A16" s="54" t="str">
        <f>'SOUTH YORKSHIRE'!A10</f>
        <v>Barnsley Central BC</v>
      </c>
      <c r="B16" s="57">
        <f>'SOUTH YORKSHIRE'!D10</f>
        <v>75665</v>
      </c>
      <c r="C16" s="57">
        <f t="shared" si="0"/>
        <v>896</v>
      </c>
      <c r="D16" s="58">
        <f t="shared" si="1"/>
        <v>1.1983576080996134E-2</v>
      </c>
      <c r="E16" s="59"/>
      <c r="G16" s="59"/>
    </row>
    <row r="17" spans="1:7">
      <c r="A17" s="54" t="str">
        <f>'SOUTH YORKSHIRE'!A12</f>
        <v>Barnsley East and Hemsworth CC</v>
      </c>
      <c r="B17" s="57">
        <f>'SOUTH YORKSHIRE'!D14</f>
        <v>72454</v>
      </c>
      <c r="C17" s="57">
        <f t="shared" si="0"/>
        <v>-2315</v>
      </c>
      <c r="D17" s="58">
        <f t="shared" si="1"/>
        <v>-3.0962029718198718E-2</v>
      </c>
      <c r="E17" s="59"/>
      <c r="G17" s="59"/>
    </row>
    <row r="18" spans="1:7">
      <c r="A18" s="54" t="str">
        <f>CUMBRIA!A12</f>
        <v>Barrow and Furness CC</v>
      </c>
      <c r="B18" s="57">
        <f>CUMBRIA!D15</f>
        <v>75278</v>
      </c>
      <c r="C18" s="57">
        <f t="shared" si="0"/>
        <v>509</v>
      </c>
      <c r="D18" s="58">
        <f t="shared" si="1"/>
        <v>6.807634179940885E-3</v>
      </c>
      <c r="E18" s="59"/>
      <c r="G18" s="59"/>
    </row>
    <row r="19" spans="1:7">
      <c r="A19" s="54" t="str">
        <f>ESSEX!A21</f>
        <v>Basildon and Billericay CC</v>
      </c>
      <c r="B19" s="57">
        <f>ESSEX!D23</f>
        <v>74410</v>
      </c>
      <c r="C19" s="57">
        <f t="shared" si="0"/>
        <v>-359</v>
      </c>
      <c r="D19" s="58">
        <f t="shared" si="1"/>
        <v>-4.8014551485241206E-3</v>
      </c>
      <c r="E19" s="59"/>
      <c r="G19" s="59"/>
    </row>
    <row r="20" spans="1:7">
      <c r="A20" s="54" t="str">
        <f>HAMPSHIRE!A24</f>
        <v>Basingstoke BC</v>
      </c>
      <c r="B20" s="57">
        <f>HAMPSHIRE!D24</f>
        <v>78026</v>
      </c>
      <c r="C20" s="57">
        <f t="shared" si="0"/>
        <v>3257</v>
      </c>
      <c r="D20" s="58">
        <f t="shared" si="1"/>
        <v>4.3560834035495995E-2</v>
      </c>
      <c r="E20" s="59"/>
      <c r="G20" s="59"/>
    </row>
    <row r="21" spans="1:7">
      <c r="A21" s="54" t="str">
        <f>NOTTINGHAMSHIRE!A19</f>
        <v>Bassetlaw CC</v>
      </c>
      <c r="B21" s="57">
        <f>NOTTINGHAMSHIRE!D19</f>
        <v>76764</v>
      </c>
      <c r="C21" s="57">
        <f t="shared" si="0"/>
        <v>1995</v>
      </c>
      <c r="D21" s="58">
        <f t="shared" si="1"/>
        <v>2.6682181117842957E-2</v>
      </c>
      <c r="E21" s="59"/>
      <c r="G21" s="59"/>
    </row>
    <row r="22" spans="1:7">
      <c r="A22" s="54" t="str">
        <f>'"AVON"'!A85</f>
        <v>Bath CC</v>
      </c>
      <c r="B22" s="57">
        <f>'"AVON"'!D9</f>
        <v>73586</v>
      </c>
      <c r="C22" s="57">
        <f t="shared" si="0"/>
        <v>-1183</v>
      </c>
      <c r="D22" s="58">
        <f t="shared" si="1"/>
        <v>-1.5822065294440208E-2</v>
      </c>
      <c r="E22" s="59"/>
      <c r="G22" s="59"/>
    </row>
    <row r="23" spans="1:7">
      <c r="A23" s="54" t="str">
        <f>'WEST YORKSHIRE'!A15</f>
        <v>Batley and Morley BC</v>
      </c>
      <c r="B23" s="57">
        <f>'WEST YORKSHIRE'!D17</f>
        <v>74680</v>
      </c>
      <c r="C23" s="57">
        <f t="shared" si="0"/>
        <v>-89</v>
      </c>
      <c r="D23" s="58">
        <f t="shared" si="1"/>
        <v>-1.1903328919739464E-3</v>
      </c>
      <c r="E23" s="59"/>
      <c r="G23" s="59"/>
    </row>
    <row r="24" spans="1:7">
      <c r="A24" s="54" t="str">
        <f>WANDSWORTH!A5</f>
        <v>Battersea BC</v>
      </c>
      <c r="B24" s="57">
        <f>WANDSWORTH!D7</f>
        <v>78002</v>
      </c>
      <c r="C24" s="57">
        <f t="shared" si="0"/>
        <v>3233</v>
      </c>
      <c r="D24" s="58">
        <f t="shared" si="1"/>
        <v>4.3239845390469316E-2</v>
      </c>
      <c r="E24" s="59"/>
      <c r="G24" s="59"/>
    </row>
    <row r="25" spans="1:7">
      <c r="A25" s="54" t="str">
        <f>BUCKINGHAMSHIRE!A14</f>
        <v>Beaconsfield CC</v>
      </c>
      <c r="B25" s="57">
        <f>BUCKINGHAMSHIRE!D16</f>
        <v>73984</v>
      </c>
      <c r="C25" s="57">
        <f t="shared" si="0"/>
        <v>-785</v>
      </c>
      <c r="D25" s="58">
        <f t="shared" si="1"/>
        <v>-1.049900359774773E-2</v>
      </c>
      <c r="E25" s="59"/>
      <c r="G25" s="59"/>
    </row>
    <row r="26" spans="1:7">
      <c r="A26" s="54" t="str">
        <f>MERSEYSIDE!A11</f>
        <v>Bebington and Heswall BC</v>
      </c>
      <c r="B26" s="57">
        <f>MERSEYSIDE!D11</f>
        <v>75393</v>
      </c>
      <c r="C26" s="57">
        <f t="shared" si="0"/>
        <v>624</v>
      </c>
      <c r="D26" s="58">
        <f t="shared" si="1"/>
        <v>8.3457047706937369E-3</v>
      </c>
      <c r="E26" s="59"/>
      <c r="G26" s="59"/>
    </row>
    <row r="27" spans="1:7">
      <c r="A27" s="54" t="str">
        <f>BROMLEY!A5</f>
        <v>Beckenham BC</v>
      </c>
      <c r="B27" s="57">
        <f>BROMLEY!D7</f>
        <v>74538</v>
      </c>
      <c r="C27" s="57">
        <f t="shared" si="0"/>
        <v>-231</v>
      </c>
      <c r="D27" s="58">
        <f t="shared" si="1"/>
        <v>-3.089515708381816E-3</v>
      </c>
      <c r="E27" s="59"/>
      <c r="G27" s="59"/>
    </row>
    <row r="28" spans="1:7">
      <c r="A28" s="54" t="str">
        <f>BEDFORDSHIRE!A8</f>
        <v>Bedford BC</v>
      </c>
      <c r="B28" s="57">
        <f>BEDFORDSHIRE!D8</f>
        <v>73269</v>
      </c>
      <c r="C28" s="57">
        <f t="shared" si="0"/>
        <v>-1500</v>
      </c>
      <c r="D28" s="58">
        <f t="shared" si="1"/>
        <v>-2.0061790314167636E-2</v>
      </c>
      <c r="E28" s="59"/>
      <c r="G28" s="59"/>
    </row>
    <row r="29" spans="1:7">
      <c r="A29" s="54" t="str">
        <f>SOUTHWARK!A5</f>
        <v>Bermondsey and Old Southwark BC</v>
      </c>
      <c r="B29" s="57">
        <f>SOUTHWARK!D7</f>
        <v>76835</v>
      </c>
      <c r="C29" s="57">
        <f t="shared" si="0"/>
        <v>2066</v>
      </c>
      <c r="D29" s="58">
        <f t="shared" si="1"/>
        <v>2.7631772526046892E-2</v>
      </c>
      <c r="E29" s="59"/>
      <c r="G29" s="59"/>
    </row>
    <row r="30" spans="1:7">
      <c r="A30" s="54" t="str">
        <f>NORTHUMBERLAND!A5</f>
        <v>Berwick and Ashington CC</v>
      </c>
      <c r="B30" s="57">
        <f>NORTHUMBERLAND!D5</f>
        <v>74891</v>
      </c>
      <c r="C30" s="57">
        <f t="shared" si="0"/>
        <v>122</v>
      </c>
      <c r="D30" s="58">
        <f t="shared" si="1"/>
        <v>1.6316922788856343E-3</v>
      </c>
      <c r="E30" s="59"/>
      <c r="G30" s="59"/>
    </row>
    <row r="31" spans="1:7">
      <c r="A31" s="54" t="str">
        <f>'"HUMBERSIDE"'!A9</f>
        <v>Beverley and Holderness CC</v>
      </c>
      <c r="B31" s="57">
        <f>'"HUMBERSIDE"'!D9</f>
        <v>76641</v>
      </c>
      <c r="C31" s="57">
        <f t="shared" si="0"/>
        <v>1872</v>
      </c>
      <c r="D31" s="58">
        <f t="shared" si="1"/>
        <v>2.5037114312081211E-2</v>
      </c>
      <c r="E31" s="59"/>
      <c r="G31" s="59"/>
    </row>
    <row r="32" spans="1:7">
      <c r="A32" s="54" t="str">
        <f>'EAST SUSSEX'!A13</f>
        <v>Bexhill and Battle CC</v>
      </c>
      <c r="B32" s="57">
        <f>'EAST SUSSEX'!D15</f>
        <v>73474</v>
      </c>
      <c r="C32" s="57">
        <f t="shared" si="0"/>
        <v>-1295</v>
      </c>
      <c r="D32" s="58">
        <f t="shared" si="1"/>
        <v>-1.7320012304564727E-2</v>
      </c>
      <c r="E32" s="59"/>
      <c r="G32" s="59"/>
    </row>
    <row r="33" spans="1:7">
      <c r="A33" s="54" t="str">
        <f>DEVON!A17</f>
        <v>Bideford, Bude and Launceston CC</v>
      </c>
      <c r="B33" s="57">
        <f>DEVON!D19</f>
        <v>71465</v>
      </c>
      <c r="C33" s="57">
        <f t="shared" si="0"/>
        <v>-3304</v>
      </c>
      <c r="D33" s="58">
        <f t="shared" si="1"/>
        <v>-4.4189436798673244E-2</v>
      </c>
      <c r="E33" s="59"/>
      <c r="G33" s="59"/>
    </row>
    <row r="34" spans="1:7">
      <c r="A34" s="54" t="str">
        <f>MERSEYSIDE!A13</f>
        <v>Birkenhead BC</v>
      </c>
      <c r="B34" s="57">
        <f>MERSEYSIDE!D13</f>
        <v>72672</v>
      </c>
      <c r="C34" s="57">
        <f t="shared" si="0"/>
        <v>-2097</v>
      </c>
      <c r="D34" s="58">
        <f t="shared" si="1"/>
        <v>-2.8046382859206357E-2</v>
      </c>
      <c r="E34" s="59"/>
      <c r="G34" s="59"/>
    </row>
    <row r="35" spans="1:7">
      <c r="A35" s="54" t="str">
        <f>'WEST MIDLANDS'!A15</f>
        <v>Birmingham Brandwood BC</v>
      </c>
      <c r="B35" s="57">
        <f>'WEST MIDLANDS'!D15</f>
        <v>71357</v>
      </c>
      <c r="C35" s="57">
        <f t="shared" si="0"/>
        <v>-3412</v>
      </c>
      <c r="D35" s="58">
        <f t="shared" si="1"/>
        <v>-4.5633885701293314E-2</v>
      </c>
      <c r="E35" s="59"/>
      <c r="G35" s="59"/>
    </row>
    <row r="36" spans="1:7">
      <c r="A36" s="54" t="str">
        <f>'WEST MIDLANDS'!A17</f>
        <v xml:space="preserve">Birmingham Edgbaston BC  </v>
      </c>
      <c r="B36" s="57">
        <f>'WEST MIDLANDS'!D19</f>
        <v>72215</v>
      </c>
      <c r="C36" s="57">
        <f t="shared" si="0"/>
        <v>-2554</v>
      </c>
      <c r="D36" s="58">
        <f t="shared" si="1"/>
        <v>-3.4158541641589428E-2</v>
      </c>
      <c r="E36" s="59"/>
      <c r="G36" s="59"/>
    </row>
    <row r="37" spans="1:7">
      <c r="A37" s="54" t="str">
        <f>'WEST MIDLANDS'!A21</f>
        <v>Birmingham Erdington and Pheasey BC</v>
      </c>
      <c r="B37" s="57">
        <f>'WEST MIDLANDS'!D23</f>
        <v>72786</v>
      </c>
      <c r="C37" s="57">
        <f t="shared" si="0"/>
        <v>-1983</v>
      </c>
      <c r="D37" s="58">
        <f t="shared" si="1"/>
        <v>-2.6521686795329614E-2</v>
      </c>
      <c r="E37" s="59"/>
      <c r="G37" s="59"/>
    </row>
    <row r="38" spans="1:7">
      <c r="A38" s="54" t="str">
        <f>'WEST MIDLANDS'!A25</f>
        <v>Birmingham Hodge Hill BC</v>
      </c>
      <c r="B38" s="57">
        <f>'WEST MIDLANDS'!D25</f>
        <v>73173</v>
      </c>
      <c r="C38" s="57">
        <f t="shared" si="0"/>
        <v>-1596</v>
      </c>
      <c r="D38" s="58">
        <f t="shared" si="1"/>
        <v>-2.1345744894274366E-2</v>
      </c>
      <c r="E38" s="59"/>
      <c r="G38" s="59"/>
    </row>
    <row r="39" spans="1:7">
      <c r="A39" s="54" t="str">
        <f>'WEST MIDLANDS'!A27</f>
        <v>Birmingham Ladywood BC</v>
      </c>
      <c r="B39" s="57">
        <f>'WEST MIDLANDS'!D29</f>
        <v>73050</v>
      </c>
      <c r="C39" s="57">
        <f t="shared" si="0"/>
        <v>-1719</v>
      </c>
      <c r="D39" s="58">
        <f t="shared" si="1"/>
        <v>-2.2990811700036112E-2</v>
      </c>
      <c r="E39" s="59"/>
      <c r="G39" s="59"/>
    </row>
    <row r="40" spans="1:7">
      <c r="A40" s="54" t="str">
        <f>'WEST MIDLANDS'!A31</f>
        <v xml:space="preserve">Birmingham Northfield BC  </v>
      </c>
      <c r="B40" s="57">
        <f>'WEST MIDLANDS'!D31</f>
        <v>72519</v>
      </c>
      <c r="C40" s="57">
        <f t="shared" si="0"/>
        <v>-2250</v>
      </c>
      <c r="D40" s="58">
        <f t="shared" si="1"/>
        <v>-3.0092685471251455E-2</v>
      </c>
      <c r="E40" s="59"/>
      <c r="G40" s="59"/>
    </row>
    <row r="41" spans="1:7">
      <c r="A41" s="54" t="str">
        <f>'WEST MIDLANDS'!A33</f>
        <v>Birmingham Perry Barr BC</v>
      </c>
      <c r="B41" s="57">
        <f>'WEST MIDLANDS'!D35</f>
        <v>76201</v>
      </c>
      <c r="C41" s="57">
        <f t="shared" si="0"/>
        <v>1432</v>
      </c>
      <c r="D41" s="58">
        <f t="shared" si="1"/>
        <v>1.9152322486592037E-2</v>
      </c>
      <c r="E41" s="59"/>
      <c r="G41" s="59"/>
    </row>
    <row r="42" spans="1:7">
      <c r="A42" s="54" t="str">
        <f>'WEST MIDLANDS'!A37</f>
        <v>Birmingham Selly Oak and Halesowen BC</v>
      </c>
      <c r="B42" s="57">
        <f>'WEST MIDLANDS'!D39</f>
        <v>77485</v>
      </c>
      <c r="C42" s="57">
        <f t="shared" si="0"/>
        <v>2716</v>
      </c>
      <c r="D42" s="58">
        <f t="shared" si="1"/>
        <v>3.6325214995519536E-2</v>
      </c>
      <c r="E42" s="59"/>
      <c r="G42" s="59"/>
    </row>
    <row r="43" spans="1:7">
      <c r="A43" s="54" t="str">
        <f>'WEST MIDLANDS'!A41</f>
        <v>Birmingham Yardley BC</v>
      </c>
      <c r="B43" s="57">
        <f>'WEST MIDLANDS'!D41</f>
        <v>72864</v>
      </c>
      <c r="C43" s="57">
        <f t="shared" si="0"/>
        <v>-1905</v>
      </c>
      <c r="D43" s="58">
        <f t="shared" si="1"/>
        <v>-2.54784736989929E-2</v>
      </c>
      <c r="E43" s="59"/>
      <c r="G43" s="59"/>
    </row>
    <row r="44" spans="1:7">
      <c r="A44" s="54" t="str">
        <f>DURHAM!A7</f>
        <v>Bishop Auckland CC</v>
      </c>
      <c r="B44" s="57">
        <f>DURHAM!D7</f>
        <v>72967</v>
      </c>
      <c r="C44" s="57">
        <f t="shared" si="0"/>
        <v>-1802</v>
      </c>
      <c r="D44" s="58">
        <f t="shared" si="1"/>
        <v>-2.4100897430753387E-2</v>
      </c>
      <c r="E44" s="59"/>
      <c r="G44" s="59"/>
    </row>
    <row r="45" spans="1:7">
      <c r="A45" s="54" t="str">
        <f>LANCASHIRE!A25</f>
        <v>Blackburn BC</v>
      </c>
      <c r="B45" s="57">
        <f>LANCASHIRE!D25</f>
        <v>72816</v>
      </c>
      <c r="C45" s="57">
        <f t="shared" si="0"/>
        <v>-1953</v>
      </c>
      <c r="D45" s="58">
        <f t="shared" si="1"/>
        <v>-2.6120450989046261E-2</v>
      </c>
      <c r="E45" s="59"/>
      <c r="G45" s="59"/>
    </row>
    <row r="46" spans="1:7">
      <c r="A46" s="54" t="str">
        <f>'GREATER MANCHESTER'!A22</f>
        <v>Blackley and Broughton BC</v>
      </c>
      <c r="B46" s="57">
        <f>'GREATER MANCHESTER'!D24</f>
        <v>72003</v>
      </c>
      <c r="C46" s="57">
        <f t="shared" si="0"/>
        <v>-2766</v>
      </c>
      <c r="D46" s="58">
        <f t="shared" si="1"/>
        <v>-3.6993941339325119E-2</v>
      </c>
      <c r="E46" s="59"/>
      <c r="G46" s="59"/>
    </row>
    <row r="47" spans="1:7">
      <c r="A47" s="54" t="str">
        <f>LANCASHIRE!A27</f>
        <v>Blackpool North and Fleetwood BC</v>
      </c>
      <c r="B47" s="57">
        <f>LANCASHIRE!D29</f>
        <v>71687</v>
      </c>
      <c r="C47" s="57">
        <f t="shared" si="0"/>
        <v>-3082</v>
      </c>
      <c r="D47" s="58">
        <f t="shared" si="1"/>
        <v>-4.1220291832176438E-2</v>
      </c>
      <c r="E47" s="59"/>
      <c r="G47" s="59"/>
    </row>
    <row r="48" spans="1:7">
      <c r="A48" s="54" t="str">
        <f>LANCASHIRE!A31</f>
        <v>Blackpool South BC</v>
      </c>
      <c r="B48" s="57">
        <f>LANCASHIRE!D33</f>
        <v>74876</v>
      </c>
      <c r="C48" s="57">
        <f t="shared" si="0"/>
        <v>107</v>
      </c>
      <c r="D48" s="58">
        <f t="shared" si="1"/>
        <v>1.4310743757439581E-3</v>
      </c>
      <c r="E48" s="59"/>
      <c r="G48" s="59"/>
    </row>
    <row r="49" spans="1:7">
      <c r="A49" s="54" t="str">
        <f>DORSET!A21</f>
        <v>Blandford and Wimborne CC</v>
      </c>
      <c r="B49" s="57">
        <f>DORSET!D24</f>
        <v>76796</v>
      </c>
      <c r="C49" s="57">
        <f t="shared" si="0"/>
        <v>2027</v>
      </c>
      <c r="D49" s="58">
        <f t="shared" si="1"/>
        <v>2.7110165977878534E-2</v>
      </c>
      <c r="E49" s="59"/>
      <c r="G49" s="59"/>
    </row>
    <row r="50" spans="1:7">
      <c r="A50" s="54" t="str">
        <f>'TYNE &amp; WEAR'!A11</f>
        <v>Blaydon BC</v>
      </c>
      <c r="B50" s="57">
        <f>'TYNE &amp; WEAR'!D13</f>
        <v>75601</v>
      </c>
      <c r="C50" s="57">
        <f t="shared" si="0"/>
        <v>832</v>
      </c>
      <c r="D50" s="58">
        <f t="shared" si="1"/>
        <v>1.1127606360924983E-2</v>
      </c>
      <c r="E50" s="59"/>
      <c r="G50" s="59"/>
    </row>
    <row r="51" spans="1:7">
      <c r="A51" s="54" t="str">
        <f>NORTHUMBERLAND!A7</f>
        <v>Blyth Valley BC</v>
      </c>
      <c r="B51" s="57">
        <f>NORTHUMBERLAND!D7</f>
        <v>76694</v>
      </c>
      <c r="C51" s="57">
        <f t="shared" si="0"/>
        <v>1925</v>
      </c>
      <c r="D51" s="58">
        <f t="shared" si="1"/>
        <v>2.5745964236515134E-2</v>
      </c>
      <c r="E51" s="59"/>
      <c r="G51" s="59"/>
    </row>
    <row r="52" spans="1:7">
      <c r="A52" s="54" t="str">
        <f>CORNWALL!A11</f>
        <v>Bodmin and St Austell CC</v>
      </c>
      <c r="B52" s="57">
        <f>CORNWALL!D11</f>
        <v>72351</v>
      </c>
      <c r="C52" s="57">
        <f t="shared" si="0"/>
        <v>-2418</v>
      </c>
      <c r="D52" s="58">
        <f t="shared" si="1"/>
        <v>-3.233960598643823E-2</v>
      </c>
      <c r="E52" s="59"/>
      <c r="G52" s="59"/>
    </row>
    <row r="53" spans="1:7">
      <c r="A53" s="54" t="str">
        <f>'WEST SUSSEX'!A19</f>
        <v>Bognor Regis and Littlehampton CC</v>
      </c>
      <c r="B53" s="57">
        <f>'WEST SUSSEX'!D19</f>
        <v>78189</v>
      </c>
      <c r="C53" s="57">
        <f t="shared" si="0"/>
        <v>3420</v>
      </c>
      <c r="D53" s="58">
        <f t="shared" si="1"/>
        <v>4.5740881916302212E-2</v>
      </c>
      <c r="E53" s="59"/>
      <c r="G53" s="59"/>
    </row>
    <row r="54" spans="1:7">
      <c r="A54" s="54" t="str">
        <f>DERBYSHIRE!A26</f>
        <v>Bolsover and Dronfield CC</v>
      </c>
      <c r="B54" s="57">
        <f>DERBYSHIRE!D29</f>
        <v>76946</v>
      </c>
      <c r="C54" s="57">
        <f t="shared" si="0"/>
        <v>2177</v>
      </c>
      <c r="D54" s="58">
        <f t="shared" si="1"/>
        <v>2.9116345009295296E-2</v>
      </c>
      <c r="E54" s="59"/>
      <c r="G54" s="59"/>
    </row>
    <row r="55" spans="1:7">
      <c r="A55" s="54" t="str">
        <f>'GREATER MANCHESTER'!A26</f>
        <v>Bolton North East BC</v>
      </c>
      <c r="B55" s="57">
        <f>'GREATER MANCHESTER'!D26</f>
        <v>73610</v>
      </c>
      <c r="C55" s="57">
        <f t="shared" si="0"/>
        <v>-1159</v>
      </c>
      <c r="D55" s="58">
        <f t="shared" si="1"/>
        <v>-1.5501076649413527E-2</v>
      </c>
      <c r="E55" s="59"/>
      <c r="G55" s="59"/>
    </row>
    <row r="56" spans="1:7">
      <c r="A56" s="54" t="str">
        <f>'GREATER MANCHESTER'!A28</f>
        <v>Bolton West CC</v>
      </c>
      <c r="B56" s="57">
        <f>'GREATER MANCHESTER'!D30</f>
        <v>77798</v>
      </c>
      <c r="C56" s="57">
        <f t="shared" si="0"/>
        <v>3029</v>
      </c>
      <c r="D56" s="58">
        <f t="shared" si="1"/>
        <v>4.0511441907742515E-2</v>
      </c>
      <c r="E56" s="59"/>
      <c r="F56" s="59"/>
      <c r="G56" s="59"/>
    </row>
    <row r="57" spans="1:7">
      <c r="A57" s="54" t="str">
        <f>MERSEYSIDE!A15</f>
        <v>Bootle BC</v>
      </c>
      <c r="B57" s="57">
        <f>MERSEYSIDE!D17</f>
        <v>77290</v>
      </c>
      <c r="C57" s="57">
        <f t="shared" si="0"/>
        <v>2521</v>
      </c>
      <c r="D57" s="58">
        <f t="shared" si="1"/>
        <v>3.3717182254677742E-2</v>
      </c>
      <c r="E57" s="59"/>
      <c r="F57" s="59"/>
      <c r="G57" s="59"/>
    </row>
    <row r="58" spans="1:7">
      <c r="A58" s="54" t="str">
        <f>LINCOLNSHIRE!A13</f>
        <v>Boston and Skegness CC</v>
      </c>
      <c r="B58" s="57">
        <f>LINCOLNSHIRE!D16</f>
        <v>71989</v>
      </c>
      <c r="C58" s="57">
        <f t="shared" si="0"/>
        <v>-2780</v>
      </c>
      <c r="D58" s="58">
        <f t="shared" si="1"/>
        <v>-3.7181184715590683E-2</v>
      </c>
      <c r="E58" s="59"/>
      <c r="F58" s="59"/>
      <c r="G58" s="59"/>
    </row>
    <row r="59" spans="1:7">
      <c r="A59" s="54" t="str">
        <f>LEICESTERSHIRE!A16</f>
        <v>Bosworth CC</v>
      </c>
      <c r="B59" s="57">
        <f>LEICESTERSHIRE!D18</f>
        <v>77561</v>
      </c>
      <c r="C59" s="57">
        <f t="shared" si="0"/>
        <v>2792</v>
      </c>
      <c r="D59" s="58">
        <f t="shared" si="1"/>
        <v>3.7341679038104029E-2</v>
      </c>
      <c r="E59" s="59"/>
      <c r="F59" s="59"/>
      <c r="G59" s="59"/>
    </row>
    <row r="60" spans="1:7">
      <c r="A60" s="54" t="str">
        <f>DORSET!A15</f>
        <v>Bournemouth North and Christchurch BC</v>
      </c>
      <c r="B60" s="57">
        <f>DORSET!D19</f>
        <v>71427</v>
      </c>
      <c r="C60" s="57">
        <f t="shared" si="0"/>
        <v>-3342</v>
      </c>
      <c r="D60" s="58">
        <f t="shared" si="1"/>
        <v>-4.4697668819965494E-2</v>
      </c>
      <c r="E60" s="59"/>
      <c r="F60" s="59"/>
      <c r="G60" s="59"/>
    </row>
    <row r="61" spans="1:7">
      <c r="A61" s="54" t="str">
        <f>DORSET!A19</f>
        <v>Bournemouth South BC</v>
      </c>
      <c r="B61" s="57">
        <f>DORSET!D17</f>
        <v>73889</v>
      </c>
      <c r="C61" s="57">
        <f t="shared" si="0"/>
        <v>-880</v>
      </c>
      <c r="D61" s="58">
        <f t="shared" si="1"/>
        <v>-1.1769583650978346E-2</v>
      </c>
      <c r="E61" s="59"/>
      <c r="F61" s="59"/>
      <c r="G61" s="59"/>
    </row>
    <row r="62" spans="1:7">
      <c r="A62" s="54" t="str">
        <f>'TOWER HAMLETS'!A5</f>
        <v>Bow and Canning Town BC</v>
      </c>
      <c r="B62" s="57">
        <f>'TOWER HAMLETS'!D7</f>
        <v>77832</v>
      </c>
      <c r="C62" s="57">
        <f t="shared" si="0"/>
        <v>3063</v>
      </c>
      <c r="D62" s="58">
        <f t="shared" si="1"/>
        <v>4.0966175821530317E-2</v>
      </c>
      <c r="E62" s="59"/>
      <c r="F62" s="59"/>
      <c r="G62" s="59"/>
    </row>
    <row r="63" spans="1:7">
      <c r="A63" s="54" t="str">
        <f>'"BERKSHIRE"'!A11</f>
        <v>Bracknell CC</v>
      </c>
      <c r="B63" s="57">
        <f>'"BERKSHIRE"'!D13</f>
        <v>76917</v>
      </c>
      <c r="C63" s="57">
        <f t="shared" si="0"/>
        <v>2148</v>
      </c>
      <c r="D63" s="58">
        <f t="shared" si="1"/>
        <v>2.8728483729888055E-2</v>
      </c>
      <c r="E63" s="59"/>
      <c r="F63" s="59"/>
      <c r="G63" s="59"/>
    </row>
    <row r="64" spans="1:7">
      <c r="A64" s="54" t="str">
        <f>'WEST YORKSHIRE'!A19</f>
        <v>Bradford East BC</v>
      </c>
      <c r="B64" s="57">
        <f>'WEST YORKSHIRE'!D19</f>
        <v>74954</v>
      </c>
      <c r="C64" s="57">
        <f t="shared" si="0"/>
        <v>185</v>
      </c>
      <c r="D64" s="58">
        <f t="shared" si="1"/>
        <v>2.4742874720806753E-3</v>
      </c>
      <c r="E64" s="59"/>
      <c r="F64" s="59"/>
      <c r="G64" s="59"/>
    </row>
    <row r="65" spans="1:7">
      <c r="A65" s="54" t="str">
        <f>'WEST YORKSHIRE'!A21</f>
        <v>Bradford West BC</v>
      </c>
      <c r="B65" s="57">
        <f>'WEST YORKSHIRE'!D21</f>
        <v>73686</v>
      </c>
      <c r="C65" s="57">
        <f t="shared" si="0"/>
        <v>-1083</v>
      </c>
      <c r="D65" s="58">
        <f t="shared" si="1"/>
        <v>-1.4484612606829034E-2</v>
      </c>
      <c r="E65" s="59"/>
      <c r="F65" s="59"/>
      <c r="G65" s="59"/>
    </row>
    <row r="66" spans="1:7">
      <c r="A66" s="54" t="str">
        <f>ESSEX!A25</f>
        <v>Braintree CC</v>
      </c>
      <c r="B66" s="57">
        <f>ESSEX!D25</f>
        <v>75132</v>
      </c>
      <c r="C66" s="57">
        <f t="shared" si="0"/>
        <v>363</v>
      </c>
      <c r="D66" s="58">
        <f t="shared" si="1"/>
        <v>4.8549532560285677E-3</v>
      </c>
      <c r="E66" s="59"/>
      <c r="F66" s="59"/>
      <c r="G66" s="59"/>
    </row>
    <row r="67" spans="1:7">
      <c r="A67" s="54" t="str">
        <f>'GREATER MANCHESTER'!A32</f>
        <v>Bramhall and Poynton CC</v>
      </c>
      <c r="B67" s="57">
        <f>'GREATER MANCHESTER'!D34</f>
        <v>76106</v>
      </c>
      <c r="C67" s="57">
        <f t="shared" ref="C67:C130" si="2">B67-$B$511</f>
        <v>1337</v>
      </c>
      <c r="D67" s="58">
        <f t="shared" ref="D67:D130" si="3">(B67-$B$511)/$B$511</f>
        <v>1.7881742433361419E-2</v>
      </c>
      <c r="E67" s="59"/>
      <c r="F67" s="59"/>
      <c r="G67" s="59"/>
    </row>
    <row r="68" spans="1:7">
      <c r="A68" s="54" t="str">
        <f>HOUNSLOW!A5</f>
        <v>Brentford and Chiswick BC</v>
      </c>
      <c r="B68" s="57">
        <f>HOUNSLOW!D7</f>
        <v>72875</v>
      </c>
      <c r="C68" s="57">
        <f t="shared" si="2"/>
        <v>-1894</v>
      </c>
      <c r="D68" s="58">
        <f t="shared" si="3"/>
        <v>-2.5331353903355669E-2</v>
      </c>
      <c r="E68" s="59"/>
      <c r="F68" s="59"/>
      <c r="G68" s="59"/>
    </row>
    <row r="69" spans="1:7">
      <c r="A69" s="54" t="str">
        <f>ESSEX!A27</f>
        <v>Brentwood and Ongar CC</v>
      </c>
      <c r="B69" s="57">
        <f>ESSEX!D30</f>
        <v>76809</v>
      </c>
      <c r="C69" s="57">
        <f t="shared" si="2"/>
        <v>2040</v>
      </c>
      <c r="D69" s="58">
        <f t="shared" si="3"/>
        <v>2.7284034827267985E-2</v>
      </c>
      <c r="E69" s="59"/>
      <c r="F69" s="59"/>
      <c r="G69" s="59"/>
    </row>
    <row r="70" spans="1:7">
      <c r="A70" s="54" t="str">
        <f>'SHROPSHIRE &amp; TELFORD &amp; WREKIN '!A17</f>
        <v>Bridgnorth, Wellington and The Wrekin CC</v>
      </c>
      <c r="B70" s="57">
        <f>'SHROPSHIRE &amp; TELFORD &amp; WREKIN '!D19</f>
        <v>77256</v>
      </c>
      <c r="C70" s="57">
        <f t="shared" si="2"/>
        <v>2487</v>
      </c>
      <c r="D70" s="58">
        <f t="shared" si="3"/>
        <v>3.3262448340889941E-2</v>
      </c>
      <c r="E70" s="59"/>
      <c r="F70" s="59"/>
      <c r="G70" s="59"/>
    </row>
    <row r="71" spans="1:7">
      <c r="A71" s="54" t="str">
        <f>SOMERSET!A11</f>
        <v>Bridgwater and West Somerset CC</v>
      </c>
      <c r="B71" s="57">
        <f>SOMERSET!D13</f>
        <v>73223</v>
      </c>
      <c r="C71" s="57">
        <f t="shared" si="2"/>
        <v>-1546</v>
      </c>
      <c r="D71" s="58">
        <f t="shared" si="3"/>
        <v>-2.0677018550468777E-2</v>
      </c>
      <c r="E71" s="59"/>
      <c r="F71" s="59"/>
      <c r="G71" s="59"/>
    </row>
    <row r="72" spans="1:7">
      <c r="A72" s="54" t="str">
        <f>'EAST SUSSEX'!A17</f>
        <v>Brighton Central and Hove BC</v>
      </c>
      <c r="B72" s="57">
        <f>'EAST SUSSEX'!D17</f>
        <v>78387</v>
      </c>
      <c r="C72" s="57">
        <f t="shared" si="2"/>
        <v>3618</v>
      </c>
      <c r="D72" s="58">
        <f t="shared" si="3"/>
        <v>4.8389038237772339E-2</v>
      </c>
      <c r="E72" s="59"/>
      <c r="F72" s="59"/>
      <c r="G72" s="59"/>
    </row>
    <row r="73" spans="1:7">
      <c r="A73" s="54" t="str">
        <f>'EAST SUSSEX'!A19</f>
        <v>Brighton East and Newhaven BC</v>
      </c>
      <c r="B73" s="57">
        <f>'EAST SUSSEX'!D21</f>
        <v>71505</v>
      </c>
      <c r="C73" s="57">
        <f t="shared" si="2"/>
        <v>-3264</v>
      </c>
      <c r="D73" s="58">
        <f t="shared" si="3"/>
        <v>-4.3654455723628777E-2</v>
      </c>
      <c r="E73" s="59"/>
      <c r="F73" s="59"/>
      <c r="G73" s="59"/>
    </row>
    <row r="74" spans="1:7">
      <c r="A74" s="54" t="str">
        <f>'EAST SUSSEX'!A23</f>
        <v>Brighton North BC</v>
      </c>
      <c r="B74" s="57">
        <f>'EAST SUSSEX'!D23</f>
        <v>75072</v>
      </c>
      <c r="C74" s="57">
        <f t="shared" si="2"/>
        <v>303</v>
      </c>
      <c r="D74" s="58">
        <f t="shared" si="3"/>
        <v>4.0524816434618629E-3</v>
      </c>
      <c r="E74" s="59"/>
      <c r="F74" s="59"/>
      <c r="G74" s="59"/>
    </row>
    <row r="75" spans="1:7">
      <c r="A75" s="54" t="str">
        <f>'"AVON"'!A11</f>
        <v>Bristol East BC</v>
      </c>
      <c r="B75" s="57">
        <f>'"AVON"'!D11</f>
        <v>76627</v>
      </c>
      <c r="C75" s="57">
        <f t="shared" si="2"/>
        <v>1858</v>
      </c>
      <c r="D75" s="58">
        <f t="shared" si="3"/>
        <v>2.4849870935815647E-2</v>
      </c>
      <c r="E75" s="59"/>
      <c r="F75" s="59"/>
      <c r="G75" s="59"/>
    </row>
    <row r="76" spans="1:7">
      <c r="A76" s="54" t="str">
        <f>'"AVON"'!A13</f>
        <v>Bristol North West BC</v>
      </c>
      <c r="B76" s="57">
        <f>'"AVON"'!D13</f>
        <v>71869</v>
      </c>
      <c r="C76" s="57">
        <f t="shared" si="2"/>
        <v>-2900</v>
      </c>
      <c r="D76" s="58">
        <f t="shared" si="3"/>
        <v>-3.8786127940724099E-2</v>
      </c>
      <c r="E76" s="59"/>
      <c r="F76" s="59"/>
      <c r="G76" s="59"/>
    </row>
    <row r="77" spans="1:7">
      <c r="A77" s="54" t="str">
        <f>'"AVON"'!A15</f>
        <v>Bristol South BC</v>
      </c>
      <c r="B77" s="57">
        <f>'"AVON"'!D15</f>
        <v>78060</v>
      </c>
      <c r="C77" s="57">
        <f t="shared" si="2"/>
        <v>3291</v>
      </c>
      <c r="D77" s="58">
        <f t="shared" si="3"/>
        <v>4.4015567949283796E-2</v>
      </c>
      <c r="E77" s="59"/>
      <c r="F77" s="59"/>
      <c r="G77" s="59"/>
    </row>
    <row r="78" spans="1:7">
      <c r="A78" s="54" t="str">
        <f>'"AVON"'!A17</f>
        <v>Bristol West BC</v>
      </c>
      <c r="B78" s="57">
        <f>'"AVON"'!D17</f>
        <v>73639</v>
      </c>
      <c r="C78" s="57">
        <f t="shared" si="2"/>
        <v>-1130</v>
      </c>
      <c r="D78" s="58">
        <f t="shared" si="3"/>
        <v>-1.5113215370006285E-2</v>
      </c>
      <c r="E78" s="59"/>
      <c r="F78" s="59"/>
      <c r="G78" s="59"/>
    </row>
    <row r="79" spans="1:7">
      <c r="A79" s="54" t="str">
        <f>NORFOLK!A13</f>
        <v>Broadland CC</v>
      </c>
      <c r="B79" s="57">
        <f>NORFOLK!D16</f>
        <v>71085</v>
      </c>
      <c r="C79" s="57">
        <f t="shared" si="2"/>
        <v>-3684</v>
      </c>
      <c r="D79" s="58">
        <f t="shared" si="3"/>
        <v>-4.9271757011595717E-2</v>
      </c>
      <c r="E79" s="59"/>
      <c r="F79" s="59"/>
      <c r="G79" s="59"/>
    </row>
    <row r="80" spans="1:7">
      <c r="A80" s="54" t="str">
        <f>DORSET!A26</f>
        <v xml:space="preserve">Broadstone, Ferndown and Kinson BC </v>
      </c>
      <c r="B80" s="57">
        <f>DORSET!D29</f>
        <v>72792</v>
      </c>
      <c r="C80" s="57">
        <f t="shared" si="2"/>
        <v>-1977</v>
      </c>
      <c r="D80" s="58">
        <f t="shared" si="3"/>
        <v>-2.6441439634072944E-2</v>
      </c>
      <c r="E80" s="59"/>
      <c r="F80" s="59"/>
      <c r="G80" s="59"/>
    </row>
    <row r="81" spans="1:7">
      <c r="A81" s="54" t="str">
        <f>BROMLEY!A9</f>
        <v>Bromley and Chislehurst BC</v>
      </c>
      <c r="B81" s="57">
        <f>BROMLEY!D9</f>
        <v>75812</v>
      </c>
      <c r="C81" s="57">
        <f t="shared" si="2"/>
        <v>1043</v>
      </c>
      <c r="D81" s="58">
        <f t="shared" si="3"/>
        <v>1.3949631531784563E-2</v>
      </c>
      <c r="E81" s="59"/>
      <c r="F81" s="59"/>
      <c r="G81" s="59"/>
    </row>
    <row r="82" spans="1:7">
      <c r="A82" s="54" t="str">
        <f>WORCESTERSHIRE!A12</f>
        <v>Bromsgrove and Droitwich CC</v>
      </c>
      <c r="B82" s="57">
        <f>WORCESTERSHIRE!D14</f>
        <v>78121</v>
      </c>
      <c r="C82" s="57">
        <f t="shared" si="2"/>
        <v>3352</v>
      </c>
      <c r="D82" s="58">
        <f t="shared" si="3"/>
        <v>4.4831414088726609E-2</v>
      </c>
      <c r="E82" s="59"/>
      <c r="F82" s="59"/>
      <c r="G82" s="59"/>
    </row>
    <row r="83" spans="1:7">
      <c r="A83" s="54" t="str">
        <f>HERTFORDSHIRE!A16</f>
        <v>Broxbourne BC</v>
      </c>
      <c r="B83" s="57">
        <f>HERTFORDSHIRE!D19</f>
        <v>72593</v>
      </c>
      <c r="C83" s="57">
        <f t="shared" si="2"/>
        <v>-2176</v>
      </c>
      <c r="D83" s="58">
        <f t="shared" si="3"/>
        <v>-2.9102970482419183E-2</v>
      </c>
      <c r="E83" s="59"/>
      <c r="F83" s="59"/>
      <c r="G83" s="59"/>
    </row>
    <row r="84" spans="1:7">
      <c r="A84" s="54" t="str">
        <f>NOTTINGHAMSHIRE!A21</f>
        <v>Broxtowe and Hucknall CC</v>
      </c>
      <c r="B84" s="57">
        <f>NOTTINGHAMSHIRE!D24</f>
        <v>74703</v>
      </c>
      <c r="C84" s="57">
        <f t="shared" si="2"/>
        <v>-66</v>
      </c>
      <c r="D84" s="58">
        <f t="shared" si="3"/>
        <v>-8.8271877382337604E-4</v>
      </c>
      <c r="E84" s="59"/>
      <c r="F84" s="59"/>
      <c r="G84" s="59"/>
    </row>
    <row r="85" spans="1:7">
      <c r="A85" s="54" t="str">
        <f>BUCKINGHAMSHIRE!A18</f>
        <v>Buckingham CC</v>
      </c>
      <c r="B85" s="57">
        <f>BUCKINGHAMSHIRE!D21</f>
        <v>77080</v>
      </c>
      <c r="C85" s="57">
        <f t="shared" si="2"/>
        <v>2311</v>
      </c>
      <c r="D85" s="58">
        <f t="shared" si="3"/>
        <v>3.0908531610694272E-2</v>
      </c>
      <c r="E85" s="59"/>
      <c r="F85" s="59"/>
      <c r="G85" s="59"/>
    </row>
    <row r="86" spans="1:7">
      <c r="A86" s="54" t="str">
        <f>LANCASHIRE!A35</f>
        <v>Burnley CC</v>
      </c>
      <c r="B86" s="57">
        <f>LANCASHIRE!D37</f>
        <v>76133</v>
      </c>
      <c r="C86" s="57">
        <f t="shared" si="2"/>
        <v>1364</v>
      </c>
      <c r="D86" s="58">
        <f t="shared" si="3"/>
        <v>1.8242854659016438E-2</v>
      </c>
      <c r="E86" s="59"/>
      <c r="F86" s="59"/>
      <c r="G86" s="59"/>
    </row>
    <row r="87" spans="1:7">
      <c r="A87" s="54" t="str">
        <f>STAFFORDSHIRE!A16</f>
        <v>Burton CC</v>
      </c>
      <c r="B87" s="57">
        <f>STAFFORDSHIRE!D16</f>
        <v>72542</v>
      </c>
      <c r="C87" s="57">
        <f t="shared" si="2"/>
        <v>-2227</v>
      </c>
      <c r="D87" s="58">
        <f t="shared" si="3"/>
        <v>-2.9785071353100885E-2</v>
      </c>
      <c r="E87" s="59"/>
      <c r="F87" s="59"/>
      <c r="G87" s="59"/>
    </row>
    <row r="88" spans="1:7">
      <c r="A88" s="54" t="str">
        <f>'GREATER MANCHESTER'!A36</f>
        <v>Bury BC</v>
      </c>
      <c r="B88" s="57">
        <f>'GREATER MANCHESTER'!D36</f>
        <v>72781</v>
      </c>
      <c r="C88" s="57">
        <f t="shared" si="2"/>
        <v>-1988</v>
      </c>
      <c r="D88" s="58">
        <f t="shared" si="3"/>
        <v>-2.6588559429710175E-2</v>
      </c>
      <c r="E88" s="59"/>
      <c r="F88" s="59"/>
      <c r="G88" s="59"/>
    </row>
    <row r="89" spans="1:7">
      <c r="A89" s="54" t="str">
        <f>SUFFOLK!A13</f>
        <v>Bury St Edmunds CC</v>
      </c>
      <c r="B89" s="57">
        <f>SUFFOLK!D15</f>
        <v>77828</v>
      </c>
      <c r="C89" s="57">
        <f t="shared" si="2"/>
        <v>3059</v>
      </c>
      <c r="D89" s="58">
        <f t="shared" si="3"/>
        <v>4.0912677714025868E-2</v>
      </c>
      <c r="E89" s="59"/>
      <c r="F89" s="59"/>
      <c r="G89" s="59"/>
    </row>
    <row r="90" spans="1:7">
      <c r="A90" s="54" t="str">
        <f>'WEST YORKSHIRE'!A23</f>
        <v>Calder Valley CC</v>
      </c>
      <c r="B90" s="57">
        <f>'WEST YORKSHIRE'!D23</f>
        <v>76601</v>
      </c>
      <c r="C90" s="57">
        <f t="shared" si="2"/>
        <v>1832</v>
      </c>
      <c r="D90" s="58">
        <f t="shared" si="3"/>
        <v>2.450213323703674E-2</v>
      </c>
      <c r="E90" s="59"/>
      <c r="F90" s="59"/>
      <c r="G90" s="59"/>
    </row>
    <row r="91" spans="1:7">
      <c r="A91" s="54" t="str">
        <f>SOUTHWARK!A9</f>
        <v>Camberwell and Vauxhall Bridge BC</v>
      </c>
      <c r="B91" s="57">
        <f>SOUTHWARK!D11</f>
        <v>71307</v>
      </c>
      <c r="C91" s="57">
        <f t="shared" si="2"/>
        <v>-3462</v>
      </c>
      <c r="D91" s="58">
        <f t="shared" si="3"/>
        <v>-4.6302612045098904E-2</v>
      </c>
      <c r="E91" s="59"/>
      <c r="F91" s="59"/>
      <c r="G91" s="59"/>
    </row>
    <row r="92" spans="1:7">
      <c r="A92" s="54" t="str">
        <f>CORNWALL!A13</f>
        <v>Camborne and Redruth CC</v>
      </c>
      <c r="B92" s="57">
        <f>CORNWALL!D13</f>
        <v>72184</v>
      </c>
      <c r="C92" s="57">
        <f t="shared" si="2"/>
        <v>-2585</v>
      </c>
      <c r="D92" s="58">
        <f t="shared" si="3"/>
        <v>-3.4573151974748896E-2</v>
      </c>
      <c r="E92" s="59"/>
      <c r="F92" s="59"/>
      <c r="G92" s="59"/>
    </row>
    <row r="93" spans="1:7">
      <c r="A93" s="54" t="str">
        <f>CAMBRIDGESHIRE!A13</f>
        <v>Cambridge BC</v>
      </c>
      <c r="B93" s="57">
        <f>CAMBRIDGESHIRE!D15</f>
        <v>75779</v>
      </c>
      <c r="C93" s="57">
        <f t="shared" si="2"/>
        <v>1010</v>
      </c>
      <c r="D93" s="58">
        <f t="shared" si="3"/>
        <v>1.3508272144872876E-2</v>
      </c>
      <c r="E93" s="59"/>
      <c r="F93" s="59"/>
      <c r="G93" s="59"/>
    </row>
    <row r="94" spans="1:7">
      <c r="A94" s="54" t="str">
        <f>STAFFORDSHIRE!A18</f>
        <v>Cannock Chase CC</v>
      </c>
      <c r="B94" s="57">
        <f>STAFFORDSHIRE!D18</f>
        <v>73470</v>
      </c>
      <c r="C94" s="57">
        <f t="shared" si="2"/>
        <v>-1299</v>
      </c>
      <c r="D94" s="58">
        <f t="shared" si="3"/>
        <v>-1.7373510412069172E-2</v>
      </c>
      <c r="E94" s="59"/>
      <c r="F94" s="59"/>
      <c r="G94" s="59"/>
    </row>
    <row r="95" spans="1:7">
      <c r="A95" s="54" t="str">
        <f>KENT!A22</f>
        <v>Canterbury and Faversham CC</v>
      </c>
      <c r="B95" s="57">
        <f>KENT!D25</f>
        <v>72011</v>
      </c>
      <c r="C95" s="57">
        <f t="shared" si="2"/>
        <v>-2758</v>
      </c>
      <c r="D95" s="58">
        <f t="shared" si="3"/>
        <v>-3.6886945124316228E-2</v>
      </c>
      <c r="E95" s="59"/>
      <c r="F95" s="59"/>
      <c r="G95" s="59"/>
    </row>
    <row r="96" spans="1:7">
      <c r="A96" s="54" t="str">
        <f>CUMBRIA!A17</f>
        <v>Carlisle CC</v>
      </c>
      <c r="B96" s="57">
        <f>CUMBRIA!D17</f>
        <v>76825</v>
      </c>
      <c r="C96" s="57">
        <f t="shared" si="2"/>
        <v>2056</v>
      </c>
      <c r="D96" s="58">
        <f t="shared" si="3"/>
        <v>2.7498027257285774E-2</v>
      </c>
      <c r="E96" s="59"/>
      <c r="F96" s="59"/>
      <c r="G96" s="59"/>
    </row>
    <row r="97" spans="1:7">
      <c r="A97" s="54" t="str">
        <f>SUTTON!A5</f>
        <v>Carshalton and Wallington BC</v>
      </c>
      <c r="B97" s="57">
        <f>SUTTON!D5</f>
        <v>75579</v>
      </c>
      <c r="C97" s="57">
        <f t="shared" si="2"/>
        <v>810</v>
      </c>
      <c r="D97" s="58">
        <f t="shared" si="3"/>
        <v>1.0833366769650524E-2</v>
      </c>
      <c r="E97" s="59"/>
      <c r="F97" s="59"/>
      <c r="G97" s="59"/>
    </row>
    <row r="98" spans="1:7">
      <c r="A98" s="54" t="str">
        <f>ESSEX!A32</f>
        <v>Castle Point BC</v>
      </c>
      <c r="B98" s="57">
        <f>ESSEX!D34</f>
        <v>75130</v>
      </c>
      <c r="C98" s="57">
        <f t="shared" si="2"/>
        <v>361</v>
      </c>
      <c r="D98" s="58">
        <f t="shared" si="3"/>
        <v>4.8282042022763441E-3</v>
      </c>
      <c r="E98" s="59"/>
      <c r="F98" s="59"/>
      <c r="G98" s="59"/>
    </row>
    <row r="99" spans="1:7">
      <c r="A99" s="54" t="str">
        <f>DEVON!A21</f>
        <v>Central Devon CC</v>
      </c>
      <c r="B99" s="57">
        <f>DEVON!D25</f>
        <v>71231</v>
      </c>
      <c r="C99" s="57">
        <f t="shared" si="2"/>
        <v>-3538</v>
      </c>
      <c r="D99" s="58">
        <f t="shared" si="3"/>
        <v>-4.7319076087683397E-2</v>
      </c>
      <c r="E99" s="59"/>
      <c r="F99" s="59"/>
      <c r="G99" s="59"/>
    </row>
    <row r="100" spans="1:7">
      <c r="A100" s="54" t="str">
        <f>SUFFOLK!A17</f>
        <v>Central Suffolk and North Ipswich CC</v>
      </c>
      <c r="B100" s="57">
        <f>SUFFOLK!D20</f>
        <v>74198</v>
      </c>
      <c r="C100" s="57">
        <f t="shared" si="2"/>
        <v>-571</v>
      </c>
      <c r="D100" s="58">
        <f t="shared" si="3"/>
        <v>-7.6368548462598133E-3</v>
      </c>
      <c r="E100" s="59"/>
      <c r="F100" s="59"/>
      <c r="G100" s="59"/>
    </row>
    <row r="101" spans="1:7">
      <c r="A101" s="54" t="str">
        <f>LEICESTERSHIRE!A20</f>
        <v>Charnwood CC</v>
      </c>
      <c r="B101" s="57">
        <f>LEICESTERSHIRE!D22</f>
        <v>72294</v>
      </c>
      <c r="C101" s="57">
        <f t="shared" si="2"/>
        <v>-2475</v>
      </c>
      <c r="D101" s="58">
        <f t="shared" si="3"/>
        <v>-3.3101954018376602E-2</v>
      </c>
      <c r="E101" s="59"/>
      <c r="F101" s="59"/>
      <c r="G101" s="59"/>
    </row>
    <row r="102" spans="1:7">
      <c r="A102" s="54" t="str">
        <f>KENT!A27</f>
        <v>Chatham and The Mallings CC</v>
      </c>
      <c r="B102" s="57">
        <f>KENT!D29</f>
        <v>75494</v>
      </c>
      <c r="C102" s="57">
        <f t="shared" si="2"/>
        <v>725</v>
      </c>
      <c r="D102" s="58">
        <f t="shared" si="3"/>
        <v>9.6965319851810249E-3</v>
      </c>
      <c r="E102" s="59"/>
      <c r="F102" s="59"/>
      <c r="G102" s="59"/>
    </row>
    <row r="103" spans="1:7">
      <c r="A103" s="54" t="str">
        <f>ESSEX!A36</f>
        <v>Chelmsford BC</v>
      </c>
      <c r="B103" s="57">
        <f>ESSEX!D36</f>
        <v>78107</v>
      </c>
      <c r="C103" s="57">
        <f t="shared" si="2"/>
        <v>3338</v>
      </c>
      <c r="D103" s="58">
        <f t="shared" si="3"/>
        <v>4.4644170712461045E-2</v>
      </c>
      <c r="E103" s="59"/>
      <c r="F103" s="59"/>
      <c r="G103" s="59"/>
    </row>
    <row r="104" spans="1:7">
      <c r="A104" s="54" t="str">
        <f>'WEST MIDLANDS'!A43</f>
        <v>Chelmsley Wood and Solihull North BC</v>
      </c>
      <c r="B104" s="57">
        <f>'WEST MIDLANDS'!D45</f>
        <v>77455</v>
      </c>
      <c r="C104" s="57">
        <f t="shared" si="2"/>
        <v>2686</v>
      </c>
      <c r="D104" s="58">
        <f t="shared" si="3"/>
        <v>3.5923979189236184E-2</v>
      </c>
      <c r="E104" s="59"/>
      <c r="F104" s="59"/>
      <c r="G104" s="59"/>
    </row>
    <row r="105" spans="1:7">
      <c r="A105" s="54" t="str">
        <f>GLOUCESTERSHIRE!A12</f>
        <v>Cheltenham BC</v>
      </c>
      <c r="B105" s="57">
        <f>GLOUCESTERSHIRE!D12</f>
        <v>72665</v>
      </c>
      <c r="C105" s="57">
        <f t="shared" si="2"/>
        <v>-2104</v>
      </c>
      <c r="D105" s="58">
        <f t="shared" si="3"/>
        <v>-2.8140004547339139E-2</v>
      </c>
      <c r="E105" s="59"/>
      <c r="F105" s="59"/>
      <c r="G105" s="59"/>
    </row>
    <row r="106" spans="1:7">
      <c r="A106" s="54" t="str">
        <f>BUCKINGHAMSHIRE!A23</f>
        <v>Chesham and Amersham CC</v>
      </c>
      <c r="B106" s="57">
        <f>BUCKINGHAMSHIRE!D25</f>
        <v>77089</v>
      </c>
      <c r="C106" s="57">
        <f t="shared" si="2"/>
        <v>2320</v>
      </c>
      <c r="D106" s="58">
        <f t="shared" si="3"/>
        <v>3.1028902352579279E-2</v>
      </c>
      <c r="E106" s="59"/>
      <c r="F106" s="59"/>
      <c r="G106" s="59"/>
    </row>
    <row r="107" spans="1:7">
      <c r="A107" s="54" t="str">
        <f>DERBYSHIRE!A31</f>
        <v>Chesterfield BC</v>
      </c>
      <c r="B107" s="57">
        <f>DERBYSHIRE!D31</f>
        <v>75675</v>
      </c>
      <c r="C107" s="57">
        <f t="shared" si="2"/>
        <v>906</v>
      </c>
      <c r="D107" s="58">
        <f t="shared" si="3"/>
        <v>1.2117321349757253E-2</v>
      </c>
      <c r="E107" s="59"/>
      <c r="F107" s="59"/>
      <c r="G107" s="59"/>
    </row>
    <row r="108" spans="1:7">
      <c r="A108" s="54" t="str">
        <f>'WEST SUSSEX'!A21</f>
        <v>Chichester CC</v>
      </c>
      <c r="B108" s="57">
        <f>'WEST SUSSEX'!D21</f>
        <v>75087</v>
      </c>
      <c r="C108" s="57">
        <f t="shared" si="2"/>
        <v>318</v>
      </c>
      <c r="D108" s="58">
        <f t="shared" si="3"/>
        <v>4.2530995466035391E-3</v>
      </c>
      <c r="E108" s="59"/>
      <c r="F108" s="59"/>
      <c r="G108" s="59"/>
    </row>
    <row r="109" spans="1:7">
      <c r="A109" s="54" t="str">
        <f>'WALTHAM FOREST'!A5</f>
        <v xml:space="preserve">Chingford and Woodford Green BC </v>
      </c>
      <c r="B109" s="57">
        <f>'WALTHAM FOREST'!D7</f>
        <v>71252</v>
      </c>
      <c r="C109" s="57">
        <f t="shared" si="2"/>
        <v>-3517</v>
      </c>
      <c r="D109" s="58">
        <f t="shared" si="3"/>
        <v>-4.7038211023285051E-2</v>
      </c>
      <c r="E109" s="59"/>
      <c r="F109" s="59"/>
      <c r="G109" s="59"/>
    </row>
    <row r="110" spans="1:7">
      <c r="A110" s="54" t="str">
        <f>WILTSHIRE!A7</f>
        <v>Chippenham CC</v>
      </c>
      <c r="B110" s="57">
        <f>WILTSHIRE!D7</f>
        <v>74439</v>
      </c>
      <c r="C110" s="57">
        <f t="shared" si="2"/>
        <v>-330</v>
      </c>
      <c r="D110" s="58">
        <f t="shared" si="3"/>
        <v>-4.4135938691168804E-3</v>
      </c>
      <c r="E110" s="59"/>
      <c r="F110" s="59"/>
      <c r="G110" s="59"/>
    </row>
    <row r="111" spans="1:7">
      <c r="A111" s="54" t="str">
        <f>BARNET!A5</f>
        <v>Chipping Barnet and Mill Hill BC</v>
      </c>
      <c r="B111" s="57">
        <f>BARNET!D7</f>
        <v>72580</v>
      </c>
      <c r="C111" s="57">
        <f t="shared" si="2"/>
        <v>-2189</v>
      </c>
      <c r="D111" s="58">
        <f t="shared" si="3"/>
        <v>-2.9276839331808639E-2</v>
      </c>
      <c r="E111" s="59"/>
      <c r="F111" s="59"/>
      <c r="G111" s="59"/>
    </row>
    <row r="112" spans="1:7">
      <c r="A112" s="54" t="str">
        <f>LANCASHIRE!A39</f>
        <v>Chorley CC</v>
      </c>
      <c r="B112" s="57">
        <f>LANCASHIRE!D39</f>
        <v>73323</v>
      </c>
      <c r="C112" s="57">
        <f t="shared" si="2"/>
        <v>-1446</v>
      </c>
      <c r="D112" s="58">
        <f t="shared" si="3"/>
        <v>-1.9339565862857601E-2</v>
      </c>
      <c r="E112" s="59"/>
      <c r="F112" s="59"/>
      <c r="G112" s="59"/>
    </row>
    <row r="113" spans="1:7">
      <c r="A113" s="54" t="str">
        <f>WESTMINSTER!A5</f>
        <v>Cities of London and Westminster BC</v>
      </c>
      <c r="B113" s="57">
        <f>WESTMINSTER!D8</f>
        <v>75693</v>
      </c>
      <c r="C113" s="57">
        <f t="shared" si="2"/>
        <v>924</v>
      </c>
      <c r="D113" s="58">
        <f t="shared" si="3"/>
        <v>1.2358062833527264E-2</v>
      </c>
      <c r="E113" s="59"/>
      <c r="F113" s="59"/>
      <c r="G113" s="59"/>
    </row>
    <row r="114" spans="1:7">
      <c r="A114" s="54" t="str">
        <f>CHESHIRE!A17</f>
        <v>City of Chester CC</v>
      </c>
      <c r="B114" s="57">
        <f>CHESHIRE!D17</f>
        <v>73723</v>
      </c>
      <c r="C114" s="57">
        <f t="shared" si="2"/>
        <v>-1046</v>
      </c>
      <c r="D114" s="58">
        <f t="shared" si="3"/>
        <v>-1.3989755112412898E-2</v>
      </c>
      <c r="E114" s="59"/>
      <c r="F114" s="59"/>
      <c r="G114" s="59"/>
    </row>
    <row r="115" spans="1:7">
      <c r="A115" s="54" t="str">
        <f>DURHAM!A9</f>
        <v>City of Durham CC</v>
      </c>
      <c r="B115" s="57">
        <f>DURHAM!D11</f>
        <v>73244</v>
      </c>
      <c r="C115" s="57">
        <f t="shared" si="2"/>
        <v>-1525</v>
      </c>
      <c r="D115" s="58">
        <f t="shared" si="3"/>
        <v>-2.0396153486070431E-2</v>
      </c>
      <c r="E115" s="59"/>
      <c r="F115" s="59"/>
      <c r="G115" s="59"/>
    </row>
    <row r="116" spans="1:7">
      <c r="A116" s="54" t="str">
        <f>LAMBETH!A17</f>
        <v>Clapham North and Stockwell BC</v>
      </c>
      <c r="B116" s="57">
        <f>LAMBETH!D17</f>
        <v>74034</v>
      </c>
      <c r="C116" s="57">
        <f t="shared" si="2"/>
        <v>-735</v>
      </c>
      <c r="D116" s="58">
        <f t="shared" si="3"/>
        <v>-9.8302772539421417E-3</v>
      </c>
      <c r="E116" s="59"/>
      <c r="F116" s="59"/>
      <c r="G116" s="59"/>
    </row>
    <row r="117" spans="1:7">
      <c r="A117" s="54" t="str">
        <f>LANCASHIRE!A41</f>
        <v>Clitheroe and Colne CC</v>
      </c>
      <c r="B117" s="57">
        <f>LANCASHIRE!D44</f>
        <v>76972</v>
      </c>
      <c r="C117" s="57">
        <f t="shared" si="2"/>
        <v>2203</v>
      </c>
      <c r="D117" s="58">
        <f t="shared" si="3"/>
        <v>2.9464082708074203E-2</v>
      </c>
      <c r="E117" s="59"/>
      <c r="F117" s="59"/>
      <c r="G117" s="59"/>
    </row>
    <row r="118" spans="1:7">
      <c r="A118" s="54" t="str">
        <f>ESSEX!A38</f>
        <v>Colchester BC</v>
      </c>
      <c r="B118" s="57">
        <f>ESSEX!D38</f>
        <v>74140</v>
      </c>
      <c r="C118" s="57">
        <f t="shared" si="2"/>
        <v>-629</v>
      </c>
      <c r="D118" s="58">
        <f t="shared" si="3"/>
        <v>-8.4125774050742962E-3</v>
      </c>
      <c r="E118" s="59"/>
      <c r="F118" s="59"/>
      <c r="G118" s="59"/>
    </row>
    <row r="119" spans="1:7">
      <c r="A119" s="54" t="str">
        <f>'WEST YORKSHIRE'!A25</f>
        <v>Colne Valley CC</v>
      </c>
      <c r="B119" s="57">
        <f>'WEST YORKSHIRE'!D27</f>
        <v>74899</v>
      </c>
      <c r="C119" s="57">
        <f t="shared" si="2"/>
        <v>130</v>
      </c>
      <c r="D119" s="58">
        <f t="shared" si="3"/>
        <v>1.7386884938945285E-3</v>
      </c>
      <c r="E119" s="59"/>
      <c r="F119" s="59"/>
      <c r="G119" s="59"/>
    </row>
    <row r="120" spans="1:7">
      <c r="A120" s="54" t="str">
        <f>CHESHIRE!A19</f>
        <v>Congleton CC</v>
      </c>
      <c r="B120" s="57">
        <f>CHESHIRE!D19</f>
        <v>71287</v>
      </c>
      <c r="C120" s="57">
        <f t="shared" si="2"/>
        <v>-3482</v>
      </c>
      <c r="D120" s="58">
        <f t="shared" si="3"/>
        <v>-4.6570102582621141E-2</v>
      </c>
      <c r="E120" s="59"/>
      <c r="F120" s="59"/>
      <c r="G120" s="59"/>
    </row>
    <row r="121" spans="1:7">
      <c r="A121" s="54" t="str">
        <f>NORTHAMPTONSHIRE!A13</f>
        <v>Corby CC</v>
      </c>
      <c r="B121" s="57">
        <f>NORTHAMPTONSHIRE!D15</f>
        <v>73718</v>
      </c>
      <c r="C121" s="57">
        <f t="shared" si="2"/>
        <v>-1051</v>
      </c>
      <c r="D121" s="58">
        <f t="shared" si="3"/>
        <v>-1.4056627746793457E-2</v>
      </c>
      <c r="E121" s="59"/>
      <c r="F121" s="59"/>
      <c r="G121" s="59"/>
    </row>
    <row r="122" spans="1:7">
      <c r="A122" s="54" t="str">
        <f>'WEST MIDLANDS'!A47</f>
        <v>Coventry North East BC</v>
      </c>
      <c r="B122" s="57">
        <f>'WEST MIDLANDS'!D47</f>
        <v>72135</v>
      </c>
      <c r="C122" s="57">
        <f t="shared" si="2"/>
        <v>-2634</v>
      </c>
      <c r="D122" s="58">
        <f t="shared" si="3"/>
        <v>-3.522850379167837E-2</v>
      </c>
      <c r="E122" s="59"/>
      <c r="F122" s="59"/>
      <c r="G122" s="59"/>
    </row>
    <row r="123" spans="1:7">
      <c r="A123" s="54" t="str">
        <f>'WEST MIDLANDS'!A49</f>
        <v>Coventry South East BC</v>
      </c>
      <c r="B123" s="57">
        <f>'WEST MIDLANDS'!D49</f>
        <v>77914</v>
      </c>
      <c r="C123" s="57">
        <f t="shared" si="2"/>
        <v>3145</v>
      </c>
      <c r="D123" s="58">
        <f t="shared" si="3"/>
        <v>4.2062887025371476E-2</v>
      </c>
      <c r="E123" s="59"/>
      <c r="F123" s="59"/>
      <c r="G123" s="59"/>
    </row>
    <row r="124" spans="1:7">
      <c r="A124" s="54" t="str">
        <f>'WEST MIDLANDS'!A51</f>
        <v>Coventry West and Meriden CC</v>
      </c>
      <c r="B124" s="57">
        <f>'WEST MIDLANDS'!D53</f>
        <v>77586</v>
      </c>
      <c r="C124" s="57">
        <f t="shared" si="2"/>
        <v>2817</v>
      </c>
      <c r="D124" s="58">
        <f t="shared" si="3"/>
        <v>3.7676042210006824E-2</v>
      </c>
      <c r="E124" s="59"/>
      <c r="F124" s="59"/>
      <c r="G124" s="59"/>
    </row>
    <row r="125" spans="1:7">
      <c r="A125" s="54" t="str">
        <f>'WEST SUSSEX'!A23</f>
        <v>Crawley BC</v>
      </c>
      <c r="B125" s="57">
        <f>'WEST SUSSEX'!D25</f>
        <v>74325</v>
      </c>
      <c r="C125" s="57">
        <f t="shared" si="2"/>
        <v>-444</v>
      </c>
      <c r="D125" s="58">
        <f t="shared" si="3"/>
        <v>-5.9382899329936201E-3</v>
      </c>
      <c r="E125" s="59"/>
      <c r="F125" s="59"/>
      <c r="G125" s="59"/>
    </row>
    <row r="126" spans="1:7">
      <c r="A126" s="54" t="str">
        <f>CHESHIRE!A21</f>
        <v>Crewe and Nantwich CC</v>
      </c>
      <c r="B126" s="57">
        <f>CHESHIRE!D21</f>
        <v>72326</v>
      </c>
      <c r="C126" s="57">
        <f t="shared" si="2"/>
        <v>-2443</v>
      </c>
      <c r="D126" s="58">
        <f t="shared" si="3"/>
        <v>-3.2673969158341025E-2</v>
      </c>
      <c r="E126" s="59"/>
      <c r="F126" s="59"/>
      <c r="G126" s="59"/>
    </row>
    <row r="127" spans="1:7">
      <c r="A127" s="54" t="str">
        <f>CROYDON!A9</f>
        <v>Croydon Central BC</v>
      </c>
      <c r="B127" s="57">
        <f>CROYDON!D9</f>
        <v>72694</v>
      </c>
      <c r="C127" s="57">
        <f t="shared" si="2"/>
        <v>-2075</v>
      </c>
      <c r="D127" s="58">
        <f t="shared" si="3"/>
        <v>-2.7752143267931895E-2</v>
      </c>
      <c r="E127" s="59"/>
      <c r="F127" s="59"/>
      <c r="G127" s="59"/>
    </row>
    <row r="128" spans="1:7">
      <c r="A128" s="54" t="str">
        <f>CROYDON!A11</f>
        <v>Croydon North BC</v>
      </c>
      <c r="B128" s="57">
        <f>CROYDON!D13</f>
        <v>77793</v>
      </c>
      <c r="C128" s="57">
        <f t="shared" si="2"/>
        <v>3024</v>
      </c>
      <c r="D128" s="58">
        <f t="shared" si="3"/>
        <v>4.0444569273361958E-2</v>
      </c>
      <c r="E128" s="59"/>
      <c r="F128" s="59"/>
      <c r="G128" s="59"/>
    </row>
    <row r="129" spans="1:7">
      <c r="A129" s="54" t="str">
        <f>CROYDON!A15</f>
        <v>Croydon South BC</v>
      </c>
      <c r="B129" s="57">
        <f>CROYDON!D15</f>
        <v>71401</v>
      </c>
      <c r="C129" s="57">
        <f t="shared" si="2"/>
        <v>-3368</v>
      </c>
      <c r="D129" s="58">
        <f t="shared" si="3"/>
        <v>-4.5045406518744398E-2</v>
      </c>
      <c r="E129" s="59"/>
      <c r="F129" s="59"/>
      <c r="G129" s="59"/>
    </row>
    <row r="130" spans="1:7">
      <c r="A130" s="54" t="str">
        <f>BARKING!A9</f>
        <v>Dagenham and Rainham BC</v>
      </c>
      <c r="B130" s="57">
        <f>BARKING!D11</f>
        <v>73013</v>
      </c>
      <c r="C130" s="57">
        <f t="shared" si="2"/>
        <v>-1756</v>
      </c>
      <c r="D130" s="58">
        <f t="shared" si="3"/>
        <v>-2.3485669194452247E-2</v>
      </c>
      <c r="E130" s="59"/>
      <c r="F130" s="59"/>
      <c r="G130" s="59"/>
    </row>
    <row r="131" spans="1:7">
      <c r="A131" s="54" t="str">
        <f>DURHAM!A13</f>
        <v>Darlington BC</v>
      </c>
      <c r="B131" s="57">
        <f>DURHAM!D13</f>
        <v>74929</v>
      </c>
      <c r="C131" s="57">
        <f t="shared" ref="C131:C194" si="4">B131-$B$511</f>
        <v>160</v>
      </c>
      <c r="D131" s="58">
        <f t="shared" ref="D131:D194" si="5">(B131-$B$511)/$B$511</f>
        <v>2.1399243001778813E-3</v>
      </c>
      <c r="E131" s="59"/>
      <c r="F131" s="59"/>
      <c r="G131" s="59"/>
    </row>
    <row r="132" spans="1:7">
      <c r="A132" s="54" t="str">
        <f>KENT!A31</f>
        <v>Dartford CC</v>
      </c>
      <c r="B132" s="57">
        <f>KENT!D31</f>
        <v>72180</v>
      </c>
      <c r="C132" s="57">
        <f t="shared" si="4"/>
        <v>-2589</v>
      </c>
      <c r="D132" s="58">
        <f t="shared" si="5"/>
        <v>-3.4626650082253338E-2</v>
      </c>
      <c r="E132" s="59"/>
      <c r="F132" s="59"/>
      <c r="G132" s="59"/>
    </row>
    <row r="133" spans="1:7">
      <c r="A133" s="54" t="str">
        <f>NORTHAMPTONSHIRE!A17</f>
        <v>Daventry and Lutterworth CC</v>
      </c>
      <c r="B133" s="57">
        <f>NORTHAMPTONSHIRE!D20</f>
        <v>71580</v>
      </c>
      <c r="C133" s="57">
        <f t="shared" si="4"/>
        <v>-3189</v>
      </c>
      <c r="D133" s="58">
        <f t="shared" si="5"/>
        <v>-4.2651366207920392E-2</v>
      </c>
      <c r="E133" s="59"/>
      <c r="F133" s="59"/>
      <c r="G133" s="59"/>
    </row>
    <row r="134" spans="1:7">
      <c r="A134" s="54" t="str">
        <f>DERBYSHIRE!A38</f>
        <v>Derby North BC</v>
      </c>
      <c r="B134" s="57">
        <f>DERBYSHIRE!D38</f>
        <v>76296</v>
      </c>
      <c r="C134" s="57">
        <f t="shared" si="4"/>
        <v>1527</v>
      </c>
      <c r="D134" s="58">
        <f t="shared" si="5"/>
        <v>2.0422902539822655E-2</v>
      </c>
      <c r="E134" s="59"/>
      <c r="F134" s="59"/>
      <c r="G134" s="59"/>
    </row>
    <row r="135" spans="1:7">
      <c r="A135" s="54" t="str">
        <f>DERBYSHIRE!A40</f>
        <v>Derby South BC</v>
      </c>
      <c r="B135" s="57">
        <f>DERBYSHIRE!D42</f>
        <v>76800</v>
      </c>
      <c r="C135" s="57">
        <f t="shared" si="4"/>
        <v>2031</v>
      </c>
      <c r="D135" s="58">
        <f t="shared" si="5"/>
        <v>2.7163664085382979E-2</v>
      </c>
      <c r="E135" s="59"/>
      <c r="F135" s="59"/>
      <c r="G135" s="59"/>
    </row>
    <row r="136" spans="1:7">
      <c r="A136" s="54" t="str">
        <f>DERBYSHIRE!A33</f>
        <v>Derbyshire Dales CC</v>
      </c>
      <c r="B136" s="57">
        <f>DERBYSHIRE!D36</f>
        <v>74324</v>
      </c>
      <c r="C136" s="57">
        <f t="shared" si="4"/>
        <v>-445</v>
      </c>
      <c r="D136" s="58">
        <f t="shared" si="5"/>
        <v>-5.9516644598697323E-3</v>
      </c>
      <c r="E136" s="59"/>
      <c r="F136" s="59"/>
      <c r="G136" s="59"/>
    </row>
    <row r="137" spans="1:7">
      <c r="A137" s="54" t="str">
        <f>WILTSHIRE!A9</f>
        <v>Devizes CC</v>
      </c>
      <c r="B137" s="57">
        <f>WILTSHIRE!D9</f>
        <v>75543</v>
      </c>
      <c r="C137" s="57">
        <f t="shared" si="4"/>
        <v>774</v>
      </c>
      <c r="D137" s="58">
        <f t="shared" si="5"/>
        <v>1.0351883802110501E-2</v>
      </c>
      <c r="E137" s="59"/>
      <c r="F137" s="59"/>
      <c r="G137" s="59"/>
    </row>
    <row r="138" spans="1:7">
      <c r="A138" s="54" t="str">
        <f>'WEST YORKSHIRE'!A29</f>
        <v>Dewsbury CC</v>
      </c>
      <c r="B138" s="57">
        <f>'WEST YORKSHIRE'!D29</f>
        <v>77167</v>
      </c>
      <c r="C138" s="57">
        <f t="shared" si="4"/>
        <v>2398</v>
      </c>
      <c r="D138" s="58">
        <f t="shared" si="5"/>
        <v>3.2072115448915993E-2</v>
      </c>
      <c r="E138" s="59"/>
      <c r="F138" s="59"/>
      <c r="G138" s="59"/>
    </row>
    <row r="139" spans="1:7">
      <c r="A139" s="54" t="str">
        <f>'SOUTH YORKSHIRE'!A20</f>
        <v>Doncaster Central BC</v>
      </c>
      <c r="B139" s="57">
        <f>'SOUTH YORKSHIRE'!D20</f>
        <v>72729</v>
      </c>
      <c r="C139" s="57">
        <f t="shared" si="4"/>
        <v>-2040</v>
      </c>
      <c r="D139" s="58">
        <f t="shared" si="5"/>
        <v>-2.7284034827267985E-2</v>
      </c>
      <c r="E139" s="59"/>
      <c r="F139" s="59"/>
      <c r="G139" s="59"/>
    </row>
    <row r="140" spans="1:7">
      <c r="A140" s="54" t="str">
        <f>'SOUTH YORKSHIRE'!A22</f>
        <v>Doncaster East CC</v>
      </c>
      <c r="B140" s="57">
        <f>'SOUTH YORKSHIRE'!D22</f>
        <v>71593</v>
      </c>
      <c r="C140" s="57">
        <f t="shared" si="4"/>
        <v>-3176</v>
      </c>
      <c r="D140" s="58">
        <f t="shared" si="5"/>
        <v>-4.2477497358530944E-2</v>
      </c>
      <c r="E140" s="59"/>
      <c r="F140" s="59"/>
      <c r="G140" s="59"/>
    </row>
    <row r="141" spans="1:7">
      <c r="A141" s="54" t="str">
        <f>'SOUTH YORKSHIRE'!A24</f>
        <v>Doncaster West CC</v>
      </c>
      <c r="B141" s="57">
        <f>'SOUTH YORKSHIRE'!D26</f>
        <v>74312</v>
      </c>
      <c r="C141" s="57">
        <f t="shared" si="4"/>
        <v>-457</v>
      </c>
      <c r="D141" s="58">
        <f t="shared" si="5"/>
        <v>-6.1121587823830736E-3</v>
      </c>
      <c r="E141" s="59"/>
      <c r="F141" s="59"/>
      <c r="G141" s="59"/>
    </row>
    <row r="142" spans="1:7">
      <c r="A142" s="54" t="str">
        <f>KENT!A33</f>
        <v>Dover CC</v>
      </c>
      <c r="B142" s="57">
        <f>KENT!D33</f>
        <v>76650</v>
      </c>
      <c r="C142" s="57">
        <f t="shared" si="4"/>
        <v>1881</v>
      </c>
      <c r="D142" s="58">
        <f t="shared" si="5"/>
        <v>2.5157485053966217E-2</v>
      </c>
      <c r="E142" s="59"/>
      <c r="F142" s="59"/>
      <c r="G142" s="59"/>
    </row>
    <row r="143" spans="1:7">
      <c r="A143" s="54" t="str">
        <f>'WEST MIDLANDS'!A55</f>
        <v>Dudley East and Tipton BC</v>
      </c>
      <c r="B143" s="57">
        <f>'WEST MIDLANDS'!D57</f>
        <v>75512</v>
      </c>
      <c r="C143" s="57">
        <f t="shared" si="4"/>
        <v>743</v>
      </c>
      <c r="D143" s="58">
        <f t="shared" si="5"/>
        <v>9.9372734689510359E-3</v>
      </c>
      <c r="E143" s="59"/>
      <c r="F143" s="59"/>
      <c r="G143" s="59"/>
    </row>
    <row r="144" spans="1:7">
      <c r="A144" s="54" t="str">
        <f>'WEST MIDLANDS'!A59</f>
        <v>Dudley West BC</v>
      </c>
      <c r="B144" s="57">
        <f>'WEST MIDLANDS'!D59</f>
        <v>71054</v>
      </c>
      <c r="C144" s="57">
        <f t="shared" si="4"/>
        <v>-3715</v>
      </c>
      <c r="D144" s="58">
        <f t="shared" si="5"/>
        <v>-4.9686367344755178E-2</v>
      </c>
      <c r="E144" s="59"/>
      <c r="F144" s="59"/>
      <c r="G144" s="59"/>
    </row>
    <row r="145" spans="1:7">
      <c r="A145" s="54" t="str">
        <f>LAMBETH!A19</f>
        <v>Dulwich and West Norwood BC</v>
      </c>
      <c r="B145" s="57">
        <f>LAMBETH!D21</f>
        <v>71839</v>
      </c>
      <c r="C145" s="57">
        <f t="shared" si="4"/>
        <v>-2930</v>
      </c>
      <c r="D145" s="58">
        <f t="shared" si="5"/>
        <v>-3.9187363747007452E-2</v>
      </c>
      <c r="E145" s="59"/>
      <c r="F145" s="59"/>
      <c r="G145" s="59"/>
    </row>
    <row r="146" spans="1:7">
      <c r="A146" s="54" t="str">
        <f>GLOUCESTERSHIRE!A14</f>
        <v>Dursley, Thornbury and Yate CC</v>
      </c>
      <c r="B146" s="57">
        <f>GLOUCESTERSHIRE!D16</f>
        <v>77355</v>
      </c>
      <c r="C146" s="57">
        <f t="shared" si="4"/>
        <v>2586</v>
      </c>
      <c r="D146" s="58">
        <f t="shared" si="5"/>
        <v>3.4586526501625005E-2</v>
      </c>
      <c r="E146" s="59"/>
      <c r="F146" s="59"/>
      <c r="G146" s="59"/>
    </row>
    <row r="147" spans="1:7">
      <c r="A147" s="54" t="str">
        <f>EALING!A9</f>
        <v>Ealing Central and Shepherd's Bush BC</v>
      </c>
      <c r="B147" s="57">
        <f>EALING!D11</f>
        <v>76085</v>
      </c>
      <c r="C147" s="57">
        <f t="shared" si="4"/>
        <v>1316</v>
      </c>
      <c r="D147" s="58">
        <f t="shared" si="5"/>
        <v>1.7600877368963073E-2</v>
      </c>
      <c r="E147" s="59"/>
      <c r="F147" s="59"/>
      <c r="G147" s="59"/>
    </row>
    <row r="148" spans="1:7">
      <c r="A148" s="54" t="str">
        <f>EALING!A13</f>
        <v>Ealing North BC</v>
      </c>
      <c r="B148" s="57">
        <f>EALING!D13</f>
        <v>73408</v>
      </c>
      <c r="C148" s="57">
        <f t="shared" si="4"/>
        <v>-1361</v>
      </c>
      <c r="D148" s="58">
        <f t="shared" si="5"/>
        <v>-1.8202731078388101E-2</v>
      </c>
      <c r="E148" s="59"/>
      <c r="F148" s="59"/>
      <c r="G148" s="59"/>
    </row>
    <row r="149" spans="1:7">
      <c r="A149" s="54" t="str">
        <f>DURHAM!A15</f>
        <v>Easington and Houghton CC</v>
      </c>
      <c r="B149" s="57">
        <f>DURHAM!D17</f>
        <v>74094</v>
      </c>
      <c r="C149" s="57">
        <f t="shared" si="4"/>
        <v>-675</v>
      </c>
      <c r="D149" s="58">
        <f t="shared" si="5"/>
        <v>-9.027805641375437E-3</v>
      </c>
      <c r="E149" s="59"/>
      <c r="F149" s="59"/>
      <c r="G149" s="59"/>
    </row>
    <row r="150" spans="1:7">
      <c r="A150" s="54" t="str">
        <f>DEVON!A27</f>
        <v>East Devon CC</v>
      </c>
      <c r="B150" s="57">
        <f>DEVON!D29</f>
        <v>77959</v>
      </c>
      <c r="C150" s="57">
        <f t="shared" si="4"/>
        <v>3190</v>
      </c>
      <c r="D150" s="58">
        <f t="shared" si="5"/>
        <v>4.2664740734796508E-2</v>
      </c>
      <c r="E150" s="59"/>
      <c r="F150" s="59"/>
      <c r="G150" s="59"/>
    </row>
    <row r="151" spans="1:7">
      <c r="A151" s="54" t="str">
        <f>DURHAM!A19</f>
        <v>East Durham CC</v>
      </c>
      <c r="B151" s="57">
        <f>DURHAM!D21</f>
        <v>78060</v>
      </c>
      <c r="C151" s="57">
        <f t="shared" si="4"/>
        <v>3291</v>
      </c>
      <c r="D151" s="58">
        <f t="shared" si="5"/>
        <v>4.4015567949283796E-2</v>
      </c>
      <c r="E151" s="59"/>
      <c r="F151" s="59"/>
      <c r="G151" s="59"/>
    </row>
    <row r="152" spans="1:7">
      <c r="A152" s="54" t="str">
        <f>NEWHAM!A9</f>
        <v>East Ham BC</v>
      </c>
      <c r="B152" s="57">
        <f>NEWHAM!D9</f>
        <v>71687</v>
      </c>
      <c r="C152" s="57">
        <f t="shared" si="4"/>
        <v>-3082</v>
      </c>
      <c r="D152" s="58">
        <f t="shared" si="5"/>
        <v>-4.1220291832176438E-2</v>
      </c>
      <c r="E152" s="59"/>
      <c r="F152" s="59"/>
      <c r="G152" s="59"/>
    </row>
    <row r="153" spans="1:7">
      <c r="A153" s="54" t="str">
        <f>HAMPSHIRE!A26</f>
        <v>East Hampshire CC</v>
      </c>
      <c r="B153" s="57">
        <f>HAMPSHIRE!D26</f>
        <v>72314</v>
      </c>
      <c r="C153" s="57">
        <f t="shared" si="4"/>
        <v>-2455</v>
      </c>
      <c r="D153" s="58">
        <f t="shared" si="5"/>
        <v>-3.2834463480854365E-2</v>
      </c>
      <c r="E153" s="59"/>
      <c r="F153" s="59"/>
      <c r="G153" s="59"/>
    </row>
    <row r="154" spans="1:7">
      <c r="A154" s="54" t="str">
        <f>SURREY!A17</f>
        <v>East Surrey CC</v>
      </c>
      <c r="B154" s="57">
        <f>SURREY!D19</f>
        <v>77146</v>
      </c>
      <c r="C154" s="57">
        <f t="shared" si="4"/>
        <v>2377</v>
      </c>
      <c r="D154" s="58">
        <f t="shared" si="5"/>
        <v>3.1791250384517647E-2</v>
      </c>
      <c r="E154" s="59"/>
      <c r="F154" s="59"/>
      <c r="G154" s="59"/>
    </row>
    <row r="155" spans="1:7">
      <c r="A155" s="54" t="str">
        <f>'WEST SUSSEX'!A27</f>
        <v>East Worthing and Shoreham BC</v>
      </c>
      <c r="B155" s="57">
        <f>'WEST SUSSEX'!D29</f>
        <v>71723</v>
      </c>
      <c r="C155" s="57">
        <f t="shared" si="4"/>
        <v>-3046</v>
      </c>
      <c r="D155" s="58">
        <f t="shared" si="5"/>
        <v>-4.0738808864636412E-2</v>
      </c>
      <c r="E155" s="59"/>
      <c r="F155" s="59"/>
      <c r="G155" s="59"/>
    </row>
    <row r="156" spans="1:7">
      <c r="A156" s="54" t="str">
        <f>'"HUMBERSIDE"'!A11</f>
        <v>East Yorkshire CC</v>
      </c>
      <c r="B156" s="57">
        <f>'"HUMBERSIDE"'!D11</f>
        <v>77061</v>
      </c>
      <c r="C156" s="57">
        <f t="shared" si="4"/>
        <v>2292</v>
      </c>
      <c r="D156" s="58">
        <f t="shared" si="5"/>
        <v>3.0654415600048147E-2</v>
      </c>
      <c r="E156" s="59"/>
      <c r="F156" s="59"/>
      <c r="G156" s="59"/>
    </row>
    <row r="157" spans="1:7">
      <c r="A157" s="54" t="str">
        <f>'EAST SUSSEX'!A25</f>
        <v>Eastbourne BC</v>
      </c>
      <c r="B157" s="57">
        <f>'EAST SUSSEX'!D27</f>
        <v>74670</v>
      </c>
      <c r="C157" s="57">
        <f t="shared" si="4"/>
        <v>-99</v>
      </c>
      <c r="D157" s="58">
        <f t="shared" si="5"/>
        <v>-1.3240781607350639E-3</v>
      </c>
      <c r="E157" s="59"/>
      <c r="F157" s="59"/>
      <c r="G157" s="59"/>
    </row>
    <row r="158" spans="1:7">
      <c r="A158" s="54" t="str">
        <f>HAMPSHIRE!A28</f>
        <v>Eastleigh BC</v>
      </c>
      <c r="B158" s="57">
        <f>HAMPSHIRE!D28</f>
        <v>77814</v>
      </c>
      <c r="C158" s="57">
        <f t="shared" si="4"/>
        <v>3045</v>
      </c>
      <c r="D158" s="58">
        <f t="shared" si="5"/>
        <v>4.0725434337760304E-2</v>
      </c>
      <c r="E158" s="59"/>
      <c r="F158" s="59"/>
      <c r="G158" s="59"/>
    </row>
    <row r="159" spans="1:7">
      <c r="A159" s="54" t="str">
        <f>CHESHIRE!A23</f>
        <v>Eddisbury and Northwich CC</v>
      </c>
      <c r="B159" s="57">
        <f>CHESHIRE!D25</f>
        <v>71748</v>
      </c>
      <c r="C159" s="57">
        <f t="shared" si="4"/>
        <v>-3021</v>
      </c>
      <c r="D159" s="58">
        <f t="shared" si="5"/>
        <v>-4.0404445692733618E-2</v>
      </c>
      <c r="E159" s="59"/>
      <c r="F159" s="59"/>
      <c r="G159" s="59"/>
    </row>
    <row r="160" spans="1:7">
      <c r="A160" s="54" t="str">
        <f>ENFIELD!A9</f>
        <v>Edmonton BC</v>
      </c>
      <c r="B160" s="57">
        <f>ENFIELD!D9</f>
        <v>72514</v>
      </c>
      <c r="C160" s="57">
        <f t="shared" si="4"/>
        <v>-2255</v>
      </c>
      <c r="D160" s="58">
        <f t="shared" si="5"/>
        <v>-3.0159558105632013E-2</v>
      </c>
      <c r="E160" s="59"/>
      <c r="F160" s="59"/>
      <c r="G160" s="59"/>
    </row>
    <row r="161" spans="1:7">
      <c r="A161" s="54" t="str">
        <f>CHESHIRE!A27</f>
        <v>Ellesmere Port and Neston CC</v>
      </c>
      <c r="B161" s="57">
        <f>CHESHIRE!D29</f>
        <v>77028</v>
      </c>
      <c r="C161" s="57">
        <f t="shared" si="4"/>
        <v>2259</v>
      </c>
      <c r="D161" s="58">
        <f t="shared" si="5"/>
        <v>3.0213056213136462E-2</v>
      </c>
      <c r="E161" s="59"/>
      <c r="F161" s="59"/>
      <c r="G161" s="59"/>
    </row>
    <row r="162" spans="1:7">
      <c r="A162" s="54" t="str">
        <f>'WEST YORKSHIRE'!A31</f>
        <v>Elmet and Rothwell CC</v>
      </c>
      <c r="B162" s="57">
        <f>'WEST YORKSHIRE'!D31</f>
        <v>77287</v>
      </c>
      <c r="C162" s="57">
        <f t="shared" si="4"/>
        <v>2518</v>
      </c>
      <c r="D162" s="58">
        <f t="shared" si="5"/>
        <v>3.3677058674049402E-2</v>
      </c>
      <c r="E162" s="59"/>
      <c r="F162" s="59"/>
      <c r="G162" s="59"/>
    </row>
    <row r="163" spans="1:7">
      <c r="A163" s="54" t="str">
        <f>GREENWICH!A5</f>
        <v>Eltham BC</v>
      </c>
      <c r="B163" s="57">
        <f>GREENWICH!D5</f>
        <v>71122</v>
      </c>
      <c r="C163" s="57">
        <f t="shared" si="4"/>
        <v>-3647</v>
      </c>
      <c r="D163" s="58">
        <f t="shared" si="5"/>
        <v>-4.8776899517179582E-2</v>
      </c>
      <c r="E163" s="59"/>
      <c r="F163" s="59"/>
      <c r="G163" s="59"/>
    </row>
    <row r="164" spans="1:7">
      <c r="A164" s="54" t="str">
        <f>ENFIELD!A11</f>
        <v>Enfield BC</v>
      </c>
      <c r="B164" s="57">
        <f>ENFIELD!D11</f>
        <v>75302</v>
      </c>
      <c r="C164" s="57">
        <f t="shared" si="4"/>
        <v>533</v>
      </c>
      <c r="D164" s="58">
        <f t="shared" si="5"/>
        <v>7.1286228249675667E-3</v>
      </c>
      <c r="E164" s="59"/>
      <c r="F164" s="59"/>
      <c r="G164" s="59"/>
    </row>
    <row r="165" spans="1:7">
      <c r="A165" s="54" t="str">
        <f>ESSEX!A40</f>
        <v xml:space="preserve">Epping Forest CC </v>
      </c>
      <c r="B165" s="57">
        <f>ESSEX!D40</f>
        <v>73521</v>
      </c>
      <c r="C165" s="57">
        <f t="shared" si="4"/>
        <v>-1248</v>
      </c>
      <c r="D165" s="58">
        <f t="shared" si="5"/>
        <v>-1.6691409541387474E-2</v>
      </c>
      <c r="E165" s="59"/>
      <c r="F165" s="59"/>
      <c r="G165" s="59"/>
    </row>
    <row r="166" spans="1:7">
      <c r="A166" s="54" t="str">
        <f>SURREY!A21</f>
        <v>Epsom and Ewell BC</v>
      </c>
      <c r="B166" s="57">
        <f>SURREY!D24</f>
        <v>77417</v>
      </c>
      <c r="C166" s="57">
        <f t="shared" si="4"/>
        <v>2648</v>
      </c>
      <c r="D166" s="58">
        <f t="shared" si="5"/>
        <v>3.5415747167943934E-2</v>
      </c>
      <c r="E166" s="59"/>
      <c r="F166" s="59"/>
      <c r="G166" s="59"/>
    </row>
    <row r="167" spans="1:7">
      <c r="A167" s="54" t="str">
        <f>DERBYSHIRE!A44</f>
        <v>Erewash CC</v>
      </c>
      <c r="B167" s="57">
        <f>DERBYSHIRE!D44</f>
        <v>75973</v>
      </c>
      <c r="C167" s="57">
        <f t="shared" si="4"/>
        <v>1204</v>
      </c>
      <c r="D167" s="58">
        <f t="shared" si="5"/>
        <v>1.6102930358838558E-2</v>
      </c>
      <c r="E167" s="59"/>
      <c r="F167" s="59"/>
      <c r="G167" s="59"/>
    </row>
    <row r="168" spans="1:7">
      <c r="A168" s="54" t="str">
        <f>BEXLEY!A5</f>
        <v>Erith and Crayford BC</v>
      </c>
      <c r="B168" s="57">
        <f>BEXLEY!D5</f>
        <v>77518</v>
      </c>
      <c r="C168" s="57">
        <f t="shared" si="4"/>
        <v>2749</v>
      </c>
      <c r="D168" s="58">
        <f t="shared" si="5"/>
        <v>3.6766574382431222E-2</v>
      </c>
      <c r="E168" s="59"/>
      <c r="F168" s="59"/>
      <c r="G168" s="59"/>
    </row>
    <row r="169" spans="1:7">
      <c r="A169" s="54" t="str">
        <f>SURREY!A26</f>
        <v>Esher and Walton BC</v>
      </c>
      <c r="B169" s="57">
        <f>SURREY!D26</f>
        <v>74117</v>
      </c>
      <c r="C169" s="57">
        <f t="shared" si="4"/>
        <v>-652</v>
      </c>
      <c r="D169" s="58">
        <f t="shared" si="5"/>
        <v>-8.7201915232248666E-3</v>
      </c>
      <c r="E169" s="59"/>
      <c r="F169" s="59"/>
      <c r="G169" s="59"/>
    </row>
    <row r="170" spans="1:7">
      <c r="A170" s="54" t="str">
        <f>WORCESTERSHIRE!A16</f>
        <v>Evesham and South Warwickshire CC</v>
      </c>
      <c r="B170" s="57">
        <f>WORCESTERSHIRE!D18</f>
        <v>78036</v>
      </c>
      <c r="C170" s="57">
        <f t="shared" si="4"/>
        <v>3267</v>
      </c>
      <c r="D170" s="58">
        <f t="shared" si="5"/>
        <v>4.369457930425711E-2</v>
      </c>
      <c r="E170" s="59"/>
      <c r="F170" s="59"/>
      <c r="G170" s="59"/>
    </row>
    <row r="171" spans="1:7">
      <c r="A171" s="54" t="str">
        <f>DEVON!A31</f>
        <v>Exeter BC</v>
      </c>
      <c r="B171" s="57">
        <f>DEVON!D31</f>
        <v>71404</v>
      </c>
      <c r="C171" s="57">
        <f t="shared" si="4"/>
        <v>-3365</v>
      </c>
      <c r="D171" s="58">
        <f t="shared" si="5"/>
        <v>-4.5005282938116065E-2</v>
      </c>
      <c r="E171" s="59"/>
      <c r="F171" s="59"/>
      <c r="G171" s="59"/>
    </row>
    <row r="172" spans="1:7">
      <c r="A172" s="54" t="str">
        <f>'GREATER MANCHESTER'!A38</f>
        <v>Failsworth and Droylsden BC</v>
      </c>
      <c r="B172" s="57">
        <f>'GREATER MANCHESTER'!D40</f>
        <v>78502</v>
      </c>
      <c r="C172" s="57">
        <f t="shared" si="4"/>
        <v>3733</v>
      </c>
      <c r="D172" s="58">
        <f t="shared" si="5"/>
        <v>4.9927108828525191E-2</v>
      </c>
      <c r="E172" s="59"/>
      <c r="F172" s="59"/>
      <c r="G172" s="59"/>
    </row>
    <row r="173" spans="1:7">
      <c r="A173" s="54" t="str">
        <f>HAMPSHIRE!A30</f>
        <v>Fareham BC</v>
      </c>
      <c r="B173" s="57">
        <f>HAMPSHIRE!D32</f>
        <v>77933</v>
      </c>
      <c r="C173" s="57">
        <f t="shared" si="4"/>
        <v>3164</v>
      </c>
      <c r="D173" s="58">
        <f t="shared" si="5"/>
        <v>4.2317003036017597E-2</v>
      </c>
      <c r="E173" s="59"/>
      <c r="F173" s="59"/>
      <c r="G173" s="59"/>
    </row>
    <row r="174" spans="1:7">
      <c r="A174" s="54" t="str">
        <f>'GREATER MANCHESTER'!A42</f>
        <v>Farnworth BC</v>
      </c>
      <c r="B174" s="57">
        <f>'GREATER MANCHESTER'!D44</f>
        <v>71142</v>
      </c>
      <c r="C174" s="57">
        <f t="shared" si="4"/>
        <v>-3627</v>
      </c>
      <c r="D174" s="58">
        <f t="shared" si="5"/>
        <v>-4.8509408979657345E-2</v>
      </c>
      <c r="E174" s="59"/>
      <c r="F174" s="59"/>
      <c r="G174" s="59"/>
    </row>
    <row r="175" spans="1:7">
      <c r="A175" s="54" t="str">
        <f>HOUNSLOW!A9</f>
        <v>Feltham and Hounslow BC</v>
      </c>
      <c r="B175" s="57">
        <f>HOUNSLOW!D9</f>
        <v>72678</v>
      </c>
      <c r="C175" s="57">
        <f t="shared" si="4"/>
        <v>-2091</v>
      </c>
      <c r="D175" s="58">
        <f t="shared" si="5"/>
        <v>-2.7966135697949684E-2</v>
      </c>
      <c r="E175" s="59"/>
      <c r="F175" s="59"/>
      <c r="G175" s="59"/>
    </row>
    <row r="176" spans="1:7">
      <c r="A176" s="54" t="str">
        <f>'"AVON"'!A223</f>
        <v>Filton and Bradley Stoke CC</v>
      </c>
      <c r="B176" s="57">
        <f>'"AVON"'!D23</f>
        <v>75495</v>
      </c>
      <c r="C176" s="57">
        <f t="shared" si="4"/>
        <v>726</v>
      </c>
      <c r="D176" s="58">
        <f t="shared" si="5"/>
        <v>9.7099065120571353E-3</v>
      </c>
      <c r="E176" s="59"/>
      <c r="F176" s="59"/>
      <c r="G176" s="59"/>
    </row>
    <row r="177" spans="1:7">
      <c r="A177" s="54" t="str">
        <f>BARNET!A9</f>
        <v>Finchley and Southgate BC</v>
      </c>
      <c r="B177" s="57">
        <f>BARNET!D11</f>
        <v>76857</v>
      </c>
      <c r="C177" s="57">
        <f t="shared" si="4"/>
        <v>2088</v>
      </c>
      <c r="D177" s="58">
        <f t="shared" si="5"/>
        <v>2.7926012117321351E-2</v>
      </c>
      <c r="E177" s="59"/>
      <c r="F177" s="59"/>
      <c r="G177" s="59"/>
    </row>
    <row r="178" spans="1:7">
      <c r="A178" s="54" t="str">
        <f>ISLINGTON!A5</f>
        <v>Finsbury Park and Stoke Newington BC</v>
      </c>
      <c r="B178" s="57">
        <f>ISLINGTON!D7</f>
        <v>77715</v>
      </c>
      <c r="C178" s="57">
        <f t="shared" si="4"/>
        <v>2946</v>
      </c>
      <c r="D178" s="58">
        <f t="shared" si="5"/>
        <v>3.940135617702524E-2</v>
      </c>
      <c r="E178" s="59"/>
      <c r="F178" s="59"/>
      <c r="G178" s="59"/>
    </row>
    <row r="179" spans="1:7">
      <c r="A179" s="54" t="str">
        <f>KENT!A35</f>
        <v>Folkestone and Hythe CC</v>
      </c>
      <c r="B179" s="57">
        <f>KENT!D35</f>
        <v>77333</v>
      </c>
      <c r="C179" s="57">
        <f t="shared" si="4"/>
        <v>2564</v>
      </c>
      <c r="D179" s="58">
        <f t="shared" si="5"/>
        <v>3.4292286910350543E-2</v>
      </c>
      <c r="E179" s="59"/>
      <c r="F179" s="59"/>
      <c r="G179" s="59"/>
    </row>
    <row r="180" spans="1:7">
      <c r="A180" s="54" t="str">
        <f>NEWHAM!A11</f>
        <v>Forest Gate and Loxford BC</v>
      </c>
      <c r="B180" s="57">
        <f>NEWHAM!D13</f>
        <v>77497</v>
      </c>
      <c r="C180" s="57">
        <f t="shared" si="4"/>
        <v>2728</v>
      </c>
      <c r="D180" s="58">
        <f t="shared" si="5"/>
        <v>3.6485709318032876E-2</v>
      </c>
      <c r="E180" s="59"/>
      <c r="F180" s="59"/>
      <c r="G180" s="59"/>
    </row>
    <row r="181" spans="1:7">
      <c r="A181" s="54" t="str">
        <f>LANCASHIRE!A46</f>
        <v>Fylde CC</v>
      </c>
      <c r="B181" s="57">
        <f>LANCASHIRE!D49</f>
        <v>72103</v>
      </c>
      <c r="C181" s="57">
        <f t="shared" si="4"/>
        <v>-2666</v>
      </c>
      <c r="D181" s="58">
        <f t="shared" si="5"/>
        <v>-3.5656488651713947E-2</v>
      </c>
      <c r="E181" s="59"/>
      <c r="F181" s="59"/>
      <c r="G181" s="59"/>
    </row>
    <row r="182" spans="1:7">
      <c r="A182" s="54" t="str">
        <f>LINCOLNSHIRE!A18</f>
        <v>Gainsborough CC</v>
      </c>
      <c r="B182" s="57">
        <f>LINCOLNSHIRE!D20</f>
        <v>74332</v>
      </c>
      <c r="C182" s="57">
        <f t="shared" si="4"/>
        <v>-437</v>
      </c>
      <c r="D182" s="58">
        <f t="shared" si="5"/>
        <v>-5.8446682448608381E-3</v>
      </c>
      <c r="E182" s="59"/>
      <c r="F182" s="59"/>
      <c r="G182" s="59"/>
    </row>
    <row r="183" spans="1:7">
      <c r="A183" s="54" t="str">
        <f>MERSEYSIDE!A23</f>
        <v>Garston and Halewood BC</v>
      </c>
      <c r="B183" s="57">
        <f>MERSEYSIDE!D25</f>
        <v>71942</v>
      </c>
      <c r="C183" s="57">
        <f t="shared" si="4"/>
        <v>-2827</v>
      </c>
      <c r="D183" s="58">
        <f t="shared" si="5"/>
        <v>-3.7809787478767939E-2</v>
      </c>
      <c r="E183" s="59"/>
      <c r="F183" s="59"/>
      <c r="G183" s="59"/>
    </row>
    <row r="184" spans="1:7">
      <c r="A184" s="54" t="str">
        <f>'TYNE &amp; WEAR'!A19</f>
        <v>Gateshead BC</v>
      </c>
      <c r="B184" s="57">
        <f>'TYNE &amp; WEAR'!D21</f>
        <v>77539</v>
      </c>
      <c r="C184" s="57">
        <f t="shared" si="4"/>
        <v>2770</v>
      </c>
      <c r="D184" s="58">
        <f t="shared" si="5"/>
        <v>3.7047439446829568E-2</v>
      </c>
      <c r="E184" s="59"/>
      <c r="F184" s="59"/>
      <c r="G184" s="59"/>
    </row>
    <row r="185" spans="1:7">
      <c r="A185" s="54" t="str">
        <f>KENT!A37</f>
        <v>Gillingham and Rainham BC</v>
      </c>
      <c r="B185" s="57">
        <f>KENT!D37</f>
        <v>75283</v>
      </c>
      <c r="C185" s="57">
        <f t="shared" si="4"/>
        <v>514</v>
      </c>
      <c r="D185" s="58">
        <f t="shared" si="5"/>
        <v>6.8745068143214435E-3</v>
      </c>
      <c r="E185" s="59"/>
      <c r="F185" s="59"/>
      <c r="G185" s="59"/>
    </row>
    <row r="186" spans="1:7">
      <c r="A186" s="54" t="str">
        <f>GLOUCESTERSHIRE!A18</f>
        <v>Gloucester BC</v>
      </c>
      <c r="B186" s="57">
        <f>GLOUCESTERSHIRE!D18</f>
        <v>73368</v>
      </c>
      <c r="C186" s="57">
        <f t="shared" si="4"/>
        <v>-1401</v>
      </c>
      <c r="D186" s="58">
        <f t="shared" si="5"/>
        <v>-1.8737712153432572E-2</v>
      </c>
      <c r="E186" s="59"/>
      <c r="F186" s="59"/>
      <c r="G186" s="59"/>
    </row>
    <row r="187" spans="1:7">
      <c r="A187" s="54" t="str">
        <f>'"HUMBERSIDE"'!A13</f>
        <v>Goole CC</v>
      </c>
      <c r="B187" s="57">
        <f>'"HUMBERSIDE"'!D15</f>
        <v>75259</v>
      </c>
      <c r="C187" s="57">
        <f t="shared" si="4"/>
        <v>490</v>
      </c>
      <c r="D187" s="58">
        <f t="shared" si="5"/>
        <v>6.5535181692947609E-3</v>
      </c>
      <c r="E187" s="59"/>
      <c r="F187" s="59"/>
      <c r="G187" s="59"/>
    </row>
    <row r="188" spans="1:7">
      <c r="A188" s="54" t="str">
        <f>HAMPSHIRE!A34</f>
        <v>Gosport BC</v>
      </c>
      <c r="B188" s="57">
        <f>HAMPSHIRE!D36</f>
        <v>72357</v>
      </c>
      <c r="C188" s="57">
        <f t="shared" si="4"/>
        <v>-2412</v>
      </c>
      <c r="D188" s="58">
        <f t="shared" si="5"/>
        <v>-3.2259358825181557E-2</v>
      </c>
      <c r="E188" s="59"/>
      <c r="F188" s="59"/>
      <c r="G188" s="59"/>
    </row>
    <row r="189" spans="1:7">
      <c r="A189" s="54" t="str">
        <f>LINCOLNSHIRE!A22</f>
        <v>Grantham and Stamford CC</v>
      </c>
      <c r="B189" s="57">
        <f>LINCOLNSHIRE!D22</f>
        <v>77156</v>
      </c>
      <c r="C189" s="57">
        <f t="shared" si="4"/>
        <v>2387</v>
      </c>
      <c r="D189" s="58">
        <f t="shared" si="5"/>
        <v>3.1924995653278762E-2</v>
      </c>
      <c r="E189" s="59"/>
      <c r="F189" s="59"/>
      <c r="G189" s="59"/>
    </row>
    <row r="190" spans="1:7">
      <c r="A190" s="54" t="str">
        <f>KENT!A39</f>
        <v>Gravesham CC</v>
      </c>
      <c r="B190" s="57">
        <f>KENT!D41</f>
        <v>76583</v>
      </c>
      <c r="C190" s="57">
        <f t="shared" si="4"/>
        <v>1814</v>
      </c>
      <c r="D190" s="58">
        <f t="shared" si="5"/>
        <v>2.4261391753266727E-2</v>
      </c>
      <c r="E190" s="59"/>
      <c r="F190" s="59"/>
      <c r="G190" s="59"/>
    </row>
    <row r="191" spans="1:7">
      <c r="A191" s="54" t="str">
        <f>NORFOLK!A18</f>
        <v>Great Yarmouth CC</v>
      </c>
      <c r="B191" s="57">
        <f>NORFOLK!D20</f>
        <v>71907</v>
      </c>
      <c r="C191" s="57">
        <f t="shared" si="4"/>
        <v>-2862</v>
      </c>
      <c r="D191" s="58">
        <f t="shared" si="5"/>
        <v>-3.8277895919431849E-2</v>
      </c>
      <c r="E191" s="59"/>
      <c r="F191" s="59"/>
      <c r="G191" s="59"/>
    </row>
    <row r="192" spans="1:7">
      <c r="A192" s="54" t="str">
        <f>GREENWICH!A7</f>
        <v>Greenwich and Deptford BC</v>
      </c>
      <c r="B192" s="57">
        <f>GREENWICH!D9</f>
        <v>77005</v>
      </c>
      <c r="C192" s="57">
        <f t="shared" si="4"/>
        <v>2236</v>
      </c>
      <c r="D192" s="58">
        <f t="shared" si="5"/>
        <v>2.9905442094985892E-2</v>
      </c>
      <c r="E192" s="59"/>
      <c r="F192" s="59"/>
      <c r="G192" s="59"/>
    </row>
    <row r="193" spans="1:7">
      <c r="A193" s="54" t="str">
        <f>'"HUMBERSIDE"'!A17</f>
        <v>Grimsby North and Barton CC</v>
      </c>
      <c r="B193" s="57">
        <f>'"HUMBERSIDE"'!D19</f>
        <v>71470</v>
      </c>
      <c r="C193" s="57">
        <f t="shared" si="4"/>
        <v>-3299</v>
      </c>
      <c r="D193" s="58">
        <f t="shared" si="5"/>
        <v>-4.4122564164292687E-2</v>
      </c>
      <c r="E193" s="59"/>
      <c r="F193" s="59"/>
      <c r="G193" s="59"/>
    </row>
    <row r="194" spans="1:7">
      <c r="A194" s="54" t="str">
        <f>'"HUMBERSIDE"'!A21</f>
        <v>Grimsby South and Cleethorpes BC</v>
      </c>
      <c r="B194" s="57">
        <f>'"HUMBERSIDE"'!D21</f>
        <v>71733</v>
      </c>
      <c r="C194" s="57">
        <f t="shared" si="4"/>
        <v>-3036</v>
      </c>
      <c r="D194" s="58">
        <f t="shared" si="5"/>
        <v>-4.0605063595875297E-2</v>
      </c>
      <c r="E194" s="59"/>
      <c r="F194" s="59"/>
      <c r="G194" s="59"/>
    </row>
    <row r="195" spans="1:7">
      <c r="A195" s="54" t="str">
        <f>SURREY!A28</f>
        <v>Guildford CC</v>
      </c>
      <c r="B195" s="57">
        <f>SURREY!D30</f>
        <v>74077</v>
      </c>
      <c r="C195" s="57">
        <f t="shared" ref="C195:C258" si="6">B195-$B$511</f>
        <v>-692</v>
      </c>
      <c r="D195" s="58">
        <f t="shared" ref="D195:D258" si="7">(B195-$B$511)/$B$511</f>
        <v>-9.2551725982693359E-3</v>
      </c>
      <c r="E195" s="59"/>
      <c r="F195" s="59"/>
      <c r="G195" s="59"/>
    </row>
    <row r="196" spans="1:7">
      <c r="A196" s="54" t="str">
        <f>HACKNEY!A9</f>
        <v>Hackney Central BC</v>
      </c>
      <c r="B196" s="57">
        <f>HACKNEY!D9</f>
        <v>75824</v>
      </c>
      <c r="C196" s="57">
        <f t="shared" si="6"/>
        <v>1055</v>
      </c>
      <c r="D196" s="58">
        <f t="shared" si="7"/>
        <v>1.4110125854297904E-2</v>
      </c>
      <c r="E196" s="59"/>
      <c r="F196" s="59"/>
      <c r="G196" s="59"/>
    </row>
    <row r="197" spans="1:7">
      <c r="A197" s="54" t="str">
        <f>HACKNEY!A11</f>
        <v>Hackney West and Bethnal Green BC</v>
      </c>
      <c r="B197" s="57">
        <f>HACKNEY!D13</f>
        <v>75449</v>
      </c>
      <c r="C197" s="57">
        <f t="shared" si="6"/>
        <v>680</v>
      </c>
      <c r="D197" s="58">
        <f t="shared" si="7"/>
        <v>9.0946782757559946E-3</v>
      </c>
      <c r="E197" s="59"/>
      <c r="F197" s="59"/>
      <c r="G197" s="59"/>
    </row>
    <row r="198" spans="1:7">
      <c r="A198" s="54" t="str">
        <f>'WEST YORKSHIRE'!A33</f>
        <v>Halifax BC</v>
      </c>
      <c r="B198" s="57">
        <f>'WEST YORKSHIRE'!D35</f>
        <v>77521</v>
      </c>
      <c r="C198" s="57">
        <f t="shared" si="6"/>
        <v>2752</v>
      </c>
      <c r="D198" s="58">
        <f t="shared" si="7"/>
        <v>3.6806697963059555E-2</v>
      </c>
      <c r="E198" s="59"/>
      <c r="F198" s="59"/>
      <c r="G198" s="59"/>
    </row>
    <row r="199" spans="1:7">
      <c r="A199" s="54" t="str">
        <f>CHESHIRE!A31</f>
        <v>Halton BC</v>
      </c>
      <c r="B199" s="57">
        <f>CHESHIRE!D31</f>
        <v>75381</v>
      </c>
      <c r="C199" s="57">
        <f t="shared" si="6"/>
        <v>612</v>
      </c>
      <c r="D199" s="58">
        <f t="shared" si="7"/>
        <v>8.1852104481803956E-3</v>
      </c>
      <c r="E199" s="59"/>
      <c r="F199" s="59"/>
      <c r="G199" s="59"/>
    </row>
    <row r="200" spans="1:7">
      <c r="A200" s="54" t="str">
        <f>HAMMERSMITH!A9</f>
        <v>Hammersmith and Fulham BC</v>
      </c>
      <c r="B200" s="57">
        <f>HAMMERSMITH!D9</f>
        <v>77725</v>
      </c>
      <c r="C200" s="57">
        <f t="shared" si="6"/>
        <v>2956</v>
      </c>
      <c r="D200" s="58">
        <f t="shared" si="7"/>
        <v>3.9535101445786355E-2</v>
      </c>
      <c r="E200" s="59"/>
      <c r="F200" s="59"/>
      <c r="G200" s="59"/>
    </row>
    <row r="201" spans="1:7">
      <c r="A201" s="54" t="str">
        <f>CAMDEN!A10</f>
        <v>Hampstead and Golders Green BC</v>
      </c>
      <c r="B201" s="57">
        <f>CAMDEN!D12</f>
        <v>75774</v>
      </c>
      <c r="C201" s="57">
        <f t="shared" si="6"/>
        <v>1005</v>
      </c>
      <c r="D201" s="58">
        <f t="shared" si="7"/>
        <v>1.3441399510492317E-2</v>
      </c>
      <c r="E201" s="59"/>
      <c r="F201" s="59"/>
      <c r="G201" s="59"/>
    </row>
    <row r="202" spans="1:7">
      <c r="A202" s="54" t="str">
        <f>LEICESTERSHIRE!A29</f>
        <v>Harborough CC</v>
      </c>
      <c r="B202" s="57">
        <f>LEICESTERSHIRE!D31</f>
        <v>73071</v>
      </c>
      <c r="C202" s="57">
        <f t="shared" si="6"/>
        <v>-1698</v>
      </c>
      <c r="D202" s="58">
        <f t="shared" si="7"/>
        <v>-2.2709946635637763E-2</v>
      </c>
      <c r="E202" s="59"/>
      <c r="F202" s="59"/>
      <c r="G202" s="59"/>
    </row>
    <row r="203" spans="1:7">
      <c r="A203" s="54" t="str">
        <f>ESSEX!A42</f>
        <v>Harlow CC</v>
      </c>
      <c r="B203" s="57">
        <f>ESSEX!D44</f>
        <v>71459</v>
      </c>
      <c r="C203" s="57">
        <f t="shared" si="6"/>
        <v>-3310</v>
      </c>
      <c r="D203" s="58">
        <f t="shared" si="7"/>
        <v>-4.4269683959929917E-2</v>
      </c>
      <c r="E203" s="59"/>
      <c r="F203" s="59"/>
      <c r="G203" s="59"/>
    </row>
    <row r="204" spans="1:7">
      <c r="A204" s="54" t="str">
        <f>'NORTH YORKSHIRE'!A15</f>
        <v>Harrogate and Knaresborough CC</v>
      </c>
      <c r="B204" s="57">
        <f>'NORTH YORKSHIRE'!D15</f>
        <v>71868</v>
      </c>
      <c r="C204" s="57">
        <f t="shared" si="6"/>
        <v>-2901</v>
      </c>
      <c r="D204" s="58">
        <f t="shared" si="7"/>
        <v>-3.8799502467600208E-2</v>
      </c>
      <c r="E204" s="59"/>
      <c r="F204" s="59"/>
      <c r="G204" s="59"/>
    </row>
    <row r="205" spans="1:7">
      <c r="A205" s="54" t="str">
        <f>HARROW!A5</f>
        <v>Harrow and Stanmore BC</v>
      </c>
      <c r="B205" s="57">
        <f>HARROW!D5</f>
        <v>77624</v>
      </c>
      <c r="C205" s="57">
        <f t="shared" si="6"/>
        <v>2855</v>
      </c>
      <c r="D205" s="58">
        <f t="shared" si="7"/>
        <v>3.8184274231299067E-2</v>
      </c>
      <c r="E205" s="59"/>
      <c r="F205" s="59"/>
      <c r="G205" s="59"/>
    </row>
    <row r="206" spans="1:7">
      <c r="A206" s="54" t="str">
        <f>'"CLEVELAND"'!A13</f>
        <v>Hartlepool and Billingham BC</v>
      </c>
      <c r="B206" s="57">
        <f>'"CLEVELAND"'!D15</f>
        <v>77558</v>
      </c>
      <c r="C206" s="57">
        <f t="shared" si="6"/>
        <v>2789</v>
      </c>
      <c r="D206" s="58">
        <f t="shared" si="7"/>
        <v>3.7301555457475689E-2</v>
      </c>
      <c r="E206" s="59"/>
      <c r="F206" s="59"/>
      <c r="G206" s="59"/>
    </row>
    <row r="207" spans="1:7">
      <c r="A207" s="54" t="str">
        <f>ESSEX!A46</f>
        <v>Harwich and Clacton CC</v>
      </c>
      <c r="B207" s="57">
        <f>ESSEX!D46</f>
        <v>77007</v>
      </c>
      <c r="C207" s="57">
        <f t="shared" si="6"/>
        <v>2238</v>
      </c>
      <c r="D207" s="58">
        <f t="shared" si="7"/>
        <v>2.9932191148738112E-2</v>
      </c>
      <c r="E207" s="59"/>
      <c r="F207" s="59"/>
      <c r="G207" s="59"/>
    </row>
    <row r="208" spans="1:7">
      <c r="A208" s="54" t="str">
        <f>'EAST SUSSEX'!A29</f>
        <v>Hastings and Rye CC</v>
      </c>
      <c r="B208" s="57">
        <f>'EAST SUSSEX'!D31</f>
        <v>71672</v>
      </c>
      <c r="C208" s="57">
        <f t="shared" si="6"/>
        <v>-3097</v>
      </c>
      <c r="D208" s="58">
        <f t="shared" si="7"/>
        <v>-4.1420909735318111E-2</v>
      </c>
      <c r="E208" s="59"/>
      <c r="F208" s="59"/>
      <c r="G208" s="59"/>
    </row>
    <row r="209" spans="1:7">
      <c r="A209" s="54" t="str">
        <f>HAMPSHIRE!A38</f>
        <v>Havant BC</v>
      </c>
      <c r="B209" s="57">
        <f>HAMPSHIRE!D38</f>
        <v>77739</v>
      </c>
      <c r="C209" s="57">
        <f t="shared" si="6"/>
        <v>2970</v>
      </c>
      <c r="D209" s="58">
        <f t="shared" si="7"/>
        <v>3.9722344822051919E-2</v>
      </c>
      <c r="E209" s="59"/>
      <c r="F209" s="59"/>
      <c r="G209" s="59"/>
    </row>
    <row r="210" spans="1:7">
      <c r="A210" s="54" t="str">
        <f>HILLINGDON!A5</f>
        <v>Hayes and Harlington BC</v>
      </c>
      <c r="B210" s="57">
        <f>HILLINGDON!D5</f>
        <v>78097</v>
      </c>
      <c r="C210" s="57">
        <f t="shared" si="6"/>
        <v>3328</v>
      </c>
      <c r="D210" s="58">
        <f t="shared" si="7"/>
        <v>4.451042544369993E-2</v>
      </c>
      <c r="E210" s="59"/>
      <c r="F210" s="59"/>
      <c r="G210" s="59"/>
    </row>
    <row r="211" spans="1:7">
      <c r="A211" s="54" t="str">
        <f>HERTFORDSHIRE!A21</f>
        <v>Hemel Hempstead CC</v>
      </c>
      <c r="B211" s="57">
        <f>HERTFORDSHIRE!D23</f>
        <v>73526</v>
      </c>
      <c r="C211" s="57">
        <f t="shared" si="6"/>
        <v>-1243</v>
      </c>
      <c r="D211" s="58">
        <f t="shared" si="7"/>
        <v>-1.6624536907006916E-2</v>
      </c>
      <c r="E211" s="59"/>
      <c r="F211" s="59"/>
      <c r="G211" s="59"/>
    </row>
    <row r="212" spans="1:7">
      <c r="A212" s="54" t="str">
        <f>BARNET!A17</f>
        <v>Hendon BC</v>
      </c>
      <c r="B212" s="57">
        <f>BARNET!D17</f>
        <v>76756</v>
      </c>
      <c r="C212" s="57">
        <f t="shared" si="6"/>
        <v>1987</v>
      </c>
      <c r="D212" s="58">
        <f t="shared" si="7"/>
        <v>2.6575184902834063E-2</v>
      </c>
      <c r="E212" s="59"/>
      <c r="F212" s="59"/>
      <c r="G212" s="59"/>
    </row>
    <row r="213" spans="1:7">
      <c r="A213" s="54" t="str">
        <f>OXFORDSHIRE!A13</f>
        <v>Henley and Thame CC</v>
      </c>
      <c r="B213" s="57">
        <f>OXFORDSHIRE!D15</f>
        <v>77517</v>
      </c>
      <c r="C213" s="57">
        <f t="shared" si="6"/>
        <v>2748</v>
      </c>
      <c r="D213" s="58">
        <f t="shared" si="7"/>
        <v>3.6753199855555113E-2</v>
      </c>
      <c r="E213" s="59"/>
      <c r="F213" s="59"/>
      <c r="G213" s="59"/>
    </row>
    <row r="214" spans="1:7">
      <c r="A214" s="54" t="str">
        <f>HEREFORDSHIRE!A5</f>
        <v>Hereford and South Herefordshire CC</v>
      </c>
      <c r="B214" s="57">
        <f>HEREFORDSHIRE!D5</f>
        <v>77370</v>
      </c>
      <c r="C214" s="57">
        <f t="shared" si="6"/>
        <v>2601</v>
      </c>
      <c r="D214" s="58">
        <f t="shared" si="7"/>
        <v>3.4787144404766684E-2</v>
      </c>
      <c r="E214" s="59"/>
      <c r="F214" s="59"/>
      <c r="G214" s="59"/>
    </row>
    <row r="215" spans="1:7">
      <c r="A215" s="54" t="str">
        <f>HERTFORDSHIRE!A25</f>
        <v>Hertford and Stortford CC</v>
      </c>
      <c r="B215" s="57">
        <f>HERTFORDSHIRE!D25</f>
        <v>75023</v>
      </c>
      <c r="C215" s="57">
        <f t="shared" si="6"/>
        <v>254</v>
      </c>
      <c r="D215" s="58">
        <f t="shared" si="7"/>
        <v>3.3971298265323864E-3</v>
      </c>
      <c r="E215" s="59"/>
      <c r="F215" s="59"/>
      <c r="G215" s="59"/>
    </row>
    <row r="216" spans="1:7">
      <c r="A216" s="54" t="str">
        <f>HERTFORDSHIRE!A27</f>
        <v>Hertsmere CC</v>
      </c>
      <c r="B216" s="57">
        <f>HERTFORDSHIRE!D29</f>
        <v>74831</v>
      </c>
      <c r="C216" s="57">
        <f t="shared" si="6"/>
        <v>62</v>
      </c>
      <c r="D216" s="58">
        <f t="shared" si="7"/>
        <v>8.2922066631892894E-4</v>
      </c>
      <c r="E216" s="59"/>
      <c r="F216" s="59"/>
      <c r="G216" s="59"/>
    </row>
    <row r="217" spans="1:7">
      <c r="A217" s="54" t="str">
        <f>NORTHUMBERLAND!A9</f>
        <v>Hexham and Morpeth CC</v>
      </c>
      <c r="B217" s="57">
        <f>NORTHUMBERLAND!D9</f>
        <v>77566</v>
      </c>
      <c r="C217" s="57">
        <f t="shared" si="6"/>
        <v>2797</v>
      </c>
      <c r="D217" s="58">
        <f t="shared" si="7"/>
        <v>3.7408551672484587E-2</v>
      </c>
      <c r="E217" s="59"/>
      <c r="F217" s="59"/>
      <c r="G217" s="59"/>
    </row>
    <row r="218" spans="1:7">
      <c r="A218" s="54" t="str">
        <f>DERBYSHIRE!A46</f>
        <v>High Peak CC</v>
      </c>
      <c r="B218" s="57">
        <f>DERBYSHIRE!D46</f>
        <v>71130</v>
      </c>
      <c r="C218" s="57">
        <f t="shared" si="6"/>
        <v>-3639</v>
      </c>
      <c r="D218" s="58">
        <f t="shared" si="7"/>
        <v>-4.8669903302170685E-2</v>
      </c>
      <c r="E218" s="59"/>
      <c r="F218" s="59"/>
      <c r="G218" s="59"/>
    </row>
    <row r="219" spans="1:7">
      <c r="A219" s="54" t="str">
        <f>'EAST SUSSEX'!A37</f>
        <v>High Weald CC</v>
      </c>
      <c r="B219" s="57">
        <f>'EAST SUSSEX'!D41</f>
        <v>74102</v>
      </c>
      <c r="C219" s="57">
        <f t="shared" si="6"/>
        <v>-667</v>
      </c>
      <c r="D219" s="58">
        <f t="shared" si="7"/>
        <v>-8.9208094263665428E-3</v>
      </c>
      <c r="E219" s="59"/>
      <c r="F219" s="59"/>
      <c r="G219" s="59"/>
    </row>
    <row r="220" spans="1:7">
      <c r="A220" s="54" t="str">
        <f>HILLINGDON!A7</f>
        <v>Hillingdon and Uxbridge BC</v>
      </c>
      <c r="B220" s="57">
        <f>HILLINGDON!D9</f>
        <v>73814</v>
      </c>
      <c r="C220" s="57">
        <f t="shared" si="6"/>
        <v>-955</v>
      </c>
      <c r="D220" s="58">
        <f t="shared" si="7"/>
        <v>-1.2772673166686729E-2</v>
      </c>
      <c r="E220" s="59"/>
      <c r="F220" s="59"/>
      <c r="G220" s="59"/>
    </row>
    <row r="221" spans="1:7">
      <c r="A221" s="54" t="str">
        <f>HERTFORDSHIRE!A31</f>
        <v>Hitchin and Harpenden CC</v>
      </c>
      <c r="B221" s="57">
        <f>HERTFORDSHIRE!D33</f>
        <v>73478</v>
      </c>
      <c r="C221" s="57">
        <f t="shared" si="6"/>
        <v>-1291</v>
      </c>
      <c r="D221" s="58">
        <f t="shared" si="7"/>
        <v>-1.7266514197060278E-2</v>
      </c>
      <c r="E221" s="59"/>
      <c r="F221" s="59"/>
      <c r="G221" s="59"/>
    </row>
    <row r="222" spans="1:7">
      <c r="A222" s="54" t="str">
        <f>CAMDEN!A14</f>
        <v>Holborn and St Pancras BC</v>
      </c>
      <c r="B222" s="57">
        <f>CAMDEN!D16</f>
        <v>76685</v>
      </c>
      <c r="C222" s="57">
        <f t="shared" si="6"/>
        <v>1916</v>
      </c>
      <c r="D222" s="58">
        <f t="shared" si="7"/>
        <v>2.5625593494630127E-2</v>
      </c>
      <c r="E222" s="59"/>
      <c r="F222" s="59"/>
      <c r="G222" s="59"/>
    </row>
    <row r="223" spans="1:7">
      <c r="A223" s="54" t="str">
        <f>HAVERING!A5</f>
        <v>Hornchurch and Upminster BC</v>
      </c>
      <c r="B223" s="57">
        <f>HAVERING!D5</f>
        <v>78064</v>
      </c>
      <c r="C223" s="57">
        <f t="shared" si="6"/>
        <v>3295</v>
      </c>
      <c r="D223" s="58">
        <f t="shared" si="7"/>
        <v>4.4069066056788238E-2</v>
      </c>
      <c r="E223" s="59"/>
      <c r="F223" s="59"/>
      <c r="G223" s="59"/>
    </row>
    <row r="224" spans="1:7">
      <c r="A224" s="54" t="str">
        <f>HARINGEY!A5</f>
        <v>Hornsey and Wood Green BC</v>
      </c>
      <c r="B224" s="57">
        <f>HARINGEY!D7</f>
        <v>74418</v>
      </c>
      <c r="C224" s="57">
        <f t="shared" si="6"/>
        <v>-351</v>
      </c>
      <c r="D224" s="58">
        <f t="shared" si="7"/>
        <v>-4.6944589335152272E-3</v>
      </c>
      <c r="E224" s="59"/>
      <c r="F224" s="59"/>
      <c r="G224" s="59"/>
    </row>
    <row r="225" spans="1:7">
      <c r="A225" s="54" t="str">
        <f>'WEST SUSSEX'!A31</f>
        <v>Horsham CC</v>
      </c>
      <c r="B225" s="57">
        <f>'WEST SUSSEX'!D33</f>
        <v>73653</v>
      </c>
      <c r="C225" s="57">
        <f t="shared" si="6"/>
        <v>-1116</v>
      </c>
      <c r="D225" s="58">
        <f t="shared" si="7"/>
        <v>-1.4925971993740721E-2</v>
      </c>
      <c r="E225" s="59"/>
      <c r="F225" s="59"/>
      <c r="G225" s="59"/>
    </row>
    <row r="226" spans="1:7">
      <c r="A226" s="54" t="str">
        <f>'WEST YORKSHIRE'!A37</f>
        <v>Huddersfield BC</v>
      </c>
      <c r="B226" s="57">
        <f>'WEST YORKSHIRE'!D37</f>
        <v>76540</v>
      </c>
      <c r="C226" s="57">
        <f t="shared" si="6"/>
        <v>1771</v>
      </c>
      <c r="D226" s="58">
        <f t="shared" si="7"/>
        <v>2.3686287097593923E-2</v>
      </c>
      <c r="E226" s="59"/>
      <c r="F226" s="59"/>
      <c r="G226" s="59"/>
    </row>
    <row r="227" spans="1:7">
      <c r="A227" s="54" t="str">
        <f>CAMBRIDGESHIRE!A17</f>
        <v>Huntingdon CC</v>
      </c>
      <c r="B227" s="57">
        <f>CAMBRIDGESHIRE!D17</f>
        <v>77715</v>
      </c>
      <c r="C227" s="57">
        <f t="shared" si="6"/>
        <v>2946</v>
      </c>
      <c r="D227" s="58">
        <f t="shared" si="7"/>
        <v>3.940135617702524E-2</v>
      </c>
      <c r="E227" s="59"/>
      <c r="F227" s="59"/>
      <c r="G227" s="59"/>
    </row>
    <row r="228" spans="1:7">
      <c r="A228" s="54" t="str">
        <f>REDBRIDGE!A17</f>
        <v>Ilford North BC</v>
      </c>
      <c r="B228" s="57">
        <f>REDBRIDGE!D17</f>
        <v>78100</v>
      </c>
      <c r="C228" s="57">
        <f t="shared" si="6"/>
        <v>3331</v>
      </c>
      <c r="D228" s="58">
        <f t="shared" si="7"/>
        <v>4.4550549024328263E-2</v>
      </c>
      <c r="E228" s="59"/>
      <c r="F228" s="59"/>
      <c r="G228" s="59"/>
    </row>
    <row r="229" spans="1:7">
      <c r="A229" s="54" t="str">
        <f>SUFFOLK!A22</f>
        <v>Ipswich BC</v>
      </c>
      <c r="B229" s="57">
        <f>SUFFOLK!D24</f>
        <v>73837</v>
      </c>
      <c r="C229" s="57">
        <f t="shared" si="6"/>
        <v>-932</v>
      </c>
      <c r="D229" s="58">
        <f t="shared" si="7"/>
        <v>-1.2465059048536158E-2</v>
      </c>
      <c r="E229" s="59"/>
      <c r="F229" s="59"/>
      <c r="G229" s="59"/>
    </row>
    <row r="230" spans="1:7">
      <c r="A230" s="54" t="str">
        <f>'ISLE OF WIGHT'!A5</f>
        <v>Isle of Wight East CC</v>
      </c>
      <c r="B230" s="57">
        <f>'ISLE OF WIGHT'!D5</f>
        <v>53268</v>
      </c>
      <c r="C230" s="57">
        <f t="shared" si="6"/>
        <v>-21501</v>
      </c>
      <c r="D230" s="58">
        <f t="shared" si="7"/>
        <v>-0.28756570236327889</v>
      </c>
      <c r="E230" s="59"/>
      <c r="F230" s="59"/>
      <c r="G230" s="59"/>
    </row>
    <row r="231" spans="1:7">
      <c r="A231" s="54" t="str">
        <f>'ISLE OF WIGHT'!A7</f>
        <v>Isle of Wight West CC</v>
      </c>
      <c r="B231" s="57">
        <f>'ISLE OF WIGHT'!D7</f>
        <v>52180</v>
      </c>
      <c r="C231" s="57">
        <f t="shared" si="6"/>
        <v>-22589</v>
      </c>
      <c r="D231" s="58">
        <f t="shared" si="7"/>
        <v>-0.30211718760448847</v>
      </c>
      <c r="E231" s="59"/>
      <c r="F231" s="59"/>
      <c r="G231" s="59"/>
    </row>
    <row r="232" spans="1:7">
      <c r="A232" s="54" t="str">
        <f>ISLINGTON!A13</f>
        <v>Islington BC</v>
      </c>
      <c r="B232" s="57">
        <f>ISLINGTON!D13</f>
        <v>73470</v>
      </c>
      <c r="C232" s="57">
        <f t="shared" si="6"/>
        <v>-1299</v>
      </c>
      <c r="D232" s="58">
        <f t="shared" si="7"/>
        <v>-1.7373510412069172E-2</v>
      </c>
      <c r="E232" s="59"/>
      <c r="F232" s="59"/>
      <c r="G232" s="59"/>
    </row>
    <row r="233" spans="1:7">
      <c r="A233" s="54" t="str">
        <f>'TYNE &amp; WEAR'!A27</f>
        <v>Jarrow BC</v>
      </c>
      <c r="B233" s="57">
        <f>'TYNE &amp; WEAR'!D30</f>
        <v>74473</v>
      </c>
      <c r="C233" s="57">
        <f t="shared" si="6"/>
        <v>-296</v>
      </c>
      <c r="D233" s="58">
        <f t="shared" si="7"/>
        <v>-3.9588599553290801E-3</v>
      </c>
      <c r="E233" s="59"/>
      <c r="F233" s="59"/>
      <c r="G233" s="59"/>
    </row>
    <row r="234" spans="1:7">
      <c r="A234" s="54" t="str">
        <f>'WEST YORKSHIRE'!A39</f>
        <v>Keighley CC</v>
      </c>
      <c r="B234" s="57">
        <f>'WEST YORKSHIRE'!D39</f>
        <v>76636</v>
      </c>
      <c r="C234" s="57">
        <f t="shared" si="6"/>
        <v>1867</v>
      </c>
      <c r="D234" s="58">
        <f t="shared" si="7"/>
        <v>2.497024167770065E-2</v>
      </c>
      <c r="E234" s="59"/>
      <c r="F234" s="59"/>
      <c r="G234" s="59"/>
    </row>
    <row r="235" spans="1:7">
      <c r="A235" s="54" t="str">
        <f>WARWICKSHIRE!A15</f>
        <v>Kenilworth and Leamington CC</v>
      </c>
      <c r="B235" s="57">
        <f>WARWICKSHIRE!D15</f>
        <v>75011</v>
      </c>
      <c r="C235" s="57">
        <f t="shared" si="6"/>
        <v>242</v>
      </c>
      <c r="D235" s="58">
        <f t="shared" si="7"/>
        <v>3.2366355040190455E-3</v>
      </c>
      <c r="E235" s="59"/>
      <c r="F235" s="59"/>
      <c r="G235" s="59"/>
    </row>
    <row r="236" spans="1:7">
      <c r="A236" s="54" t="str">
        <f>KENSINGTON!A5</f>
        <v>Kensington and Chelsea BC</v>
      </c>
      <c r="B236" s="57">
        <f>KENSINGTON!D5</f>
        <v>76454</v>
      </c>
      <c r="C236" s="57">
        <f t="shared" si="6"/>
        <v>1685</v>
      </c>
      <c r="D236" s="58">
        <f t="shared" si="7"/>
        <v>2.2536077786248311E-2</v>
      </c>
      <c r="E236" s="59"/>
      <c r="F236" s="59"/>
      <c r="G236" s="59"/>
    </row>
    <row r="237" spans="1:7">
      <c r="A237" s="54" t="str">
        <f>HARROW!A7</f>
        <v>Kenton BC</v>
      </c>
      <c r="B237" s="57">
        <f>HARROW!D9</f>
        <v>73722</v>
      </c>
      <c r="C237" s="57">
        <f t="shared" si="6"/>
        <v>-1047</v>
      </c>
      <c r="D237" s="58">
        <f t="shared" si="7"/>
        <v>-1.400312963928901E-2</v>
      </c>
      <c r="E237" s="59"/>
      <c r="F237" s="59"/>
      <c r="G237" s="59"/>
    </row>
    <row r="238" spans="1:7">
      <c r="A238" s="54" t="str">
        <f>NORTHAMPTONSHIRE!A22</f>
        <v>Kettering CC</v>
      </c>
      <c r="B238" s="57">
        <f>NORTHAMPTONSHIRE!D24</f>
        <v>71489</v>
      </c>
      <c r="C238" s="57">
        <f t="shared" si="6"/>
        <v>-3280</v>
      </c>
      <c r="D238" s="58">
        <f t="shared" si="7"/>
        <v>-4.3868448153646565E-2</v>
      </c>
      <c r="E238" s="59"/>
      <c r="F238" s="59"/>
      <c r="G238" s="59"/>
    </row>
    <row r="239" spans="1:7">
      <c r="A239" s="146" t="str">
        <f>KINGSTON!A5</f>
        <v>Kingston and Surbiton BC</v>
      </c>
      <c r="B239" s="400">
        <f>KINGSTON!D5</f>
        <v>77995</v>
      </c>
      <c r="C239" s="57">
        <f t="shared" si="6"/>
        <v>3226</v>
      </c>
      <c r="D239" s="58">
        <f t="shared" si="7"/>
        <v>4.3146223702336527E-2</v>
      </c>
      <c r="E239" s="59"/>
      <c r="F239" s="59"/>
      <c r="G239" s="59"/>
    </row>
    <row r="240" spans="1:7">
      <c r="A240" s="54" t="str">
        <f>'"HUMBERSIDE"'!A25</f>
        <v>Kingston upon Hull Central BC</v>
      </c>
      <c r="B240" s="57">
        <f>'"HUMBERSIDE"'!D25</f>
        <v>71722</v>
      </c>
      <c r="C240" s="57">
        <f t="shared" si="6"/>
        <v>-3047</v>
      </c>
      <c r="D240" s="58">
        <f t="shared" si="7"/>
        <v>-4.0752183391512528E-2</v>
      </c>
      <c r="E240" s="59"/>
      <c r="F240" s="59"/>
      <c r="G240" s="59"/>
    </row>
    <row r="241" spans="1:7">
      <c r="A241" s="54" t="str">
        <f>'"HUMBERSIDE"'!A23</f>
        <v>Kingston upon Hull East BC</v>
      </c>
      <c r="B241" s="57">
        <f>'"HUMBERSIDE"'!D23</f>
        <v>72078</v>
      </c>
      <c r="C241" s="57">
        <f t="shared" si="6"/>
        <v>-2691</v>
      </c>
      <c r="D241" s="58">
        <f t="shared" si="7"/>
        <v>-3.5990851823616742E-2</v>
      </c>
      <c r="E241" s="59"/>
      <c r="F241" s="59"/>
      <c r="G241" s="59"/>
    </row>
    <row r="242" spans="1:7">
      <c r="A242" s="54" t="str">
        <f>'"HUMBERSIDE"'!A27</f>
        <v>Kingston upon Hull West and Haltemprice BC</v>
      </c>
      <c r="B242" s="57">
        <f>'"HUMBERSIDE"'!D29</f>
        <v>74211</v>
      </c>
      <c r="C242" s="57">
        <f t="shared" si="6"/>
        <v>-558</v>
      </c>
      <c r="D242" s="58">
        <f t="shared" si="7"/>
        <v>-7.4629859968703607E-3</v>
      </c>
      <c r="E242" s="59"/>
      <c r="F242" s="59"/>
      <c r="G242" s="59"/>
    </row>
    <row r="243" spans="1:7">
      <c r="A243" s="54" t="str">
        <f>'"AVON"'!A224</f>
        <v>Kingswood BC</v>
      </c>
      <c r="B243" s="57">
        <f>'"AVON"'!D25</f>
        <v>73384</v>
      </c>
      <c r="C243" s="57">
        <f t="shared" si="6"/>
        <v>-1385</v>
      </c>
      <c r="D243" s="58">
        <f t="shared" si="7"/>
        <v>-1.8523719723414784E-2</v>
      </c>
      <c r="E243" s="59"/>
      <c r="F243" s="59"/>
      <c r="G243" s="59"/>
    </row>
    <row r="244" spans="1:7">
      <c r="A244" s="54" t="str">
        <f>MERSEYSIDE!A27</f>
        <v>Knowsley BC</v>
      </c>
      <c r="B244" s="57">
        <f>MERSEYSIDE!D27</f>
        <v>77916</v>
      </c>
      <c r="C244" s="57">
        <f t="shared" si="6"/>
        <v>3147</v>
      </c>
      <c r="D244" s="58">
        <f t="shared" si="7"/>
        <v>4.20896360791237E-2</v>
      </c>
      <c r="E244" s="59"/>
      <c r="F244" s="59"/>
      <c r="G244" s="59"/>
    </row>
    <row r="245" spans="1:7">
      <c r="A245" s="54" t="str">
        <f>LANCASHIRE!A51</f>
        <v>Lancaster and Morecambe CC</v>
      </c>
      <c r="B245" s="57">
        <f>LANCASHIRE!D51</f>
        <v>74361</v>
      </c>
      <c r="C245" s="57">
        <f t="shared" si="6"/>
        <v>-408</v>
      </c>
      <c r="D245" s="58">
        <f t="shared" si="7"/>
        <v>-5.4568069654535971E-3</v>
      </c>
      <c r="E245" s="59"/>
      <c r="F245" s="59"/>
      <c r="G245" s="59"/>
    </row>
    <row r="246" spans="1:7">
      <c r="A246" s="54" t="str">
        <f>'WEST YORKSHIRE'!A41</f>
        <v>Leeds Central BC</v>
      </c>
      <c r="B246" s="57">
        <f>'WEST YORKSHIRE'!D41</f>
        <v>77012</v>
      </c>
      <c r="C246" s="57">
        <f t="shared" si="6"/>
        <v>2243</v>
      </c>
      <c r="D246" s="58">
        <f t="shared" si="7"/>
        <v>2.9999063783118673E-2</v>
      </c>
      <c r="E246" s="59"/>
      <c r="F246" s="59"/>
      <c r="G246" s="59"/>
    </row>
    <row r="247" spans="1:7">
      <c r="A247" s="54" t="str">
        <f>'WEST YORKSHIRE'!A43</f>
        <v>Leeds East BC</v>
      </c>
      <c r="B247" s="57">
        <f>'WEST YORKSHIRE'!D43</f>
        <v>76213</v>
      </c>
      <c r="C247" s="57">
        <f t="shared" si="6"/>
        <v>1444</v>
      </c>
      <c r="D247" s="58">
        <f t="shared" si="7"/>
        <v>1.9312816809105376E-2</v>
      </c>
      <c r="E247" s="59"/>
      <c r="F247" s="59"/>
      <c r="G247" s="59"/>
    </row>
    <row r="248" spans="1:7">
      <c r="A248" s="54" t="str">
        <f>'WEST YORKSHIRE'!A45</f>
        <v>Leeds North East BC</v>
      </c>
      <c r="B248" s="57">
        <f>'WEST YORKSHIRE'!D45</f>
        <v>74883</v>
      </c>
      <c r="C248" s="57">
        <f t="shared" si="6"/>
        <v>114</v>
      </c>
      <c r="D248" s="58">
        <f t="shared" si="7"/>
        <v>1.5246960638767403E-3</v>
      </c>
      <c r="E248" s="59"/>
      <c r="F248" s="59"/>
      <c r="G248" s="59"/>
    </row>
    <row r="249" spans="1:7">
      <c r="A249" s="54" t="str">
        <f>'WEST YORKSHIRE'!A47</f>
        <v>Leeds North West BC</v>
      </c>
      <c r="B249" s="57">
        <f>'WEST YORKSHIRE'!D47</f>
        <v>77244</v>
      </c>
      <c r="C249" s="57">
        <f t="shared" si="6"/>
        <v>2475</v>
      </c>
      <c r="D249" s="58">
        <f t="shared" si="7"/>
        <v>3.3101954018376602E-2</v>
      </c>
      <c r="E249" s="59"/>
      <c r="F249" s="59"/>
      <c r="G249" s="59"/>
    </row>
    <row r="250" spans="1:7">
      <c r="A250" s="54" t="str">
        <f>LEICESTERSHIRE!A33</f>
        <v>Leicester East BC</v>
      </c>
      <c r="B250" s="57">
        <f>LEICESTERSHIRE!D33</f>
        <v>75755</v>
      </c>
      <c r="C250" s="57">
        <f t="shared" si="6"/>
        <v>986</v>
      </c>
      <c r="D250" s="58">
        <f t="shared" si="7"/>
        <v>1.3187283499846193E-2</v>
      </c>
      <c r="E250" s="59"/>
      <c r="F250" s="59"/>
      <c r="G250" s="59"/>
    </row>
    <row r="251" spans="1:7">
      <c r="A251" s="54" t="str">
        <f>LEICESTERSHIRE!A35</f>
        <v>Leicester South BC</v>
      </c>
      <c r="B251" s="57">
        <f>LEICESTERSHIRE!D35</f>
        <v>72227</v>
      </c>
      <c r="C251" s="57">
        <f t="shared" si="6"/>
        <v>-2542</v>
      </c>
      <c r="D251" s="58">
        <f t="shared" si="7"/>
        <v>-3.3998047319076088E-2</v>
      </c>
      <c r="E251" s="59"/>
      <c r="F251" s="59"/>
      <c r="G251" s="59"/>
    </row>
    <row r="252" spans="1:7">
      <c r="A252" s="54" t="str">
        <f>LEICESTERSHIRE!A37</f>
        <v>Leicester West BC</v>
      </c>
      <c r="B252" s="57">
        <f>LEICESTERSHIRE!D39</f>
        <v>74743</v>
      </c>
      <c r="C252" s="57">
        <f t="shared" si="6"/>
        <v>-26</v>
      </c>
      <c r="D252" s="58">
        <f t="shared" si="7"/>
        <v>-3.4773769877890571E-4</v>
      </c>
      <c r="E252" s="59"/>
      <c r="F252" s="59"/>
      <c r="G252" s="59"/>
    </row>
    <row r="253" spans="1:7">
      <c r="A253" s="54" t="str">
        <f>'GREATER MANCHESTER'!A46</f>
        <v>Leigh CC</v>
      </c>
      <c r="B253" s="57">
        <f>'GREATER MANCHESTER'!D46</f>
        <v>73070</v>
      </c>
      <c r="C253" s="57">
        <f t="shared" si="6"/>
        <v>-1699</v>
      </c>
      <c r="D253" s="58">
        <f t="shared" si="7"/>
        <v>-2.2723321162513875E-2</v>
      </c>
      <c r="E253" s="59"/>
      <c r="F253" s="59"/>
      <c r="G253" s="59"/>
    </row>
    <row r="254" spans="1:7">
      <c r="A254" s="54" t="str">
        <f>'EAST SUSSEX'!A33</f>
        <v>Lewes and Uckfield CC</v>
      </c>
      <c r="B254" s="57">
        <f>'EAST SUSSEX'!D35</f>
        <v>77046</v>
      </c>
      <c r="C254" s="57">
        <f t="shared" si="6"/>
        <v>2277</v>
      </c>
      <c r="D254" s="58">
        <f t="shared" si="7"/>
        <v>3.0453797696906471E-2</v>
      </c>
      <c r="E254" s="59"/>
      <c r="F254" s="59"/>
      <c r="G254" s="59"/>
    </row>
    <row r="255" spans="1:7">
      <c r="A255" s="54" t="str">
        <f>LEWISHAM!A9</f>
        <v>Lewisham and Catford BC</v>
      </c>
      <c r="B255" s="57">
        <f>LEWISHAM!D9</f>
        <v>72781</v>
      </c>
      <c r="C255" s="57">
        <f t="shared" si="6"/>
        <v>-1988</v>
      </c>
      <c r="D255" s="58">
        <f t="shared" si="7"/>
        <v>-2.6588559429710175E-2</v>
      </c>
      <c r="E255" s="59"/>
      <c r="F255" s="59"/>
      <c r="G255" s="59"/>
    </row>
    <row r="256" spans="1:7">
      <c r="A256" s="54" t="str">
        <f>'WALTHAM FOREST'!A9</f>
        <v xml:space="preserve">Leytonstone and Wanstead BC </v>
      </c>
      <c r="B256" s="57">
        <f>'WALTHAM FOREST'!D11</f>
        <v>73833</v>
      </c>
      <c r="C256" s="57">
        <f t="shared" si="6"/>
        <v>-936</v>
      </c>
      <c r="D256" s="58">
        <f t="shared" si="7"/>
        <v>-1.2518557156040605E-2</v>
      </c>
      <c r="E256" s="59"/>
      <c r="F256" s="59"/>
      <c r="G256" s="59"/>
    </row>
    <row r="257" spans="1:7">
      <c r="A257" s="54" t="str">
        <f>STAFFORDSHIRE!A20</f>
        <v>Lichfield CC</v>
      </c>
      <c r="B257" s="57">
        <f>STAFFORDSHIRE!D23</f>
        <v>74778</v>
      </c>
      <c r="C257" s="57">
        <f t="shared" si="6"/>
        <v>9</v>
      </c>
      <c r="D257" s="58">
        <f t="shared" si="7"/>
        <v>1.2037074188500582E-4</v>
      </c>
      <c r="E257" s="59"/>
      <c r="F257" s="59"/>
      <c r="G257" s="59"/>
    </row>
    <row r="258" spans="1:7">
      <c r="A258" s="54" t="str">
        <f>LINCOLNSHIRE!A24</f>
        <v>Lincoln BC</v>
      </c>
      <c r="B258" s="57">
        <f>LINCOLNSHIRE!D26</f>
        <v>73889</v>
      </c>
      <c r="C258" s="57">
        <f t="shared" si="6"/>
        <v>-880</v>
      </c>
      <c r="D258" s="58">
        <f t="shared" si="7"/>
        <v>-1.1769583650978346E-2</v>
      </c>
      <c r="E258" s="59"/>
      <c r="F258" s="59"/>
      <c r="G258" s="59"/>
    </row>
    <row r="259" spans="1:7">
      <c r="A259" s="54" t="str">
        <f>'GREATER MANCHESTER'!A48</f>
        <v>Littleborough and Saddleworth CC</v>
      </c>
      <c r="B259" s="57">
        <f>'GREATER MANCHESTER'!D50</f>
        <v>75203</v>
      </c>
      <c r="C259" s="57">
        <f t="shared" ref="C259:C322" si="8">B259-$B$511</f>
        <v>434</v>
      </c>
      <c r="D259" s="58">
        <f t="shared" ref="D259:D322" si="9">(B259-$B$511)/$B$511</f>
        <v>5.8045446642325024E-3</v>
      </c>
      <c r="E259" s="59"/>
      <c r="F259" s="59"/>
      <c r="G259" s="59"/>
    </row>
    <row r="260" spans="1:7">
      <c r="A260" s="54" t="str">
        <f>MERSEYSIDE!A29</f>
        <v>Liverpool Riverside BC</v>
      </c>
      <c r="B260" s="57">
        <f>MERSEYSIDE!D29</f>
        <v>77665</v>
      </c>
      <c r="C260" s="57">
        <f t="shared" si="8"/>
        <v>2896</v>
      </c>
      <c r="D260" s="58">
        <f t="shared" si="9"/>
        <v>3.8732629833219651E-2</v>
      </c>
      <c r="E260" s="59"/>
      <c r="F260" s="59"/>
      <c r="G260" s="59"/>
    </row>
    <row r="261" spans="1:7">
      <c r="A261" s="54" t="str">
        <f>MERSEYSIDE!A31</f>
        <v>Liverpool Wavertree BC</v>
      </c>
      <c r="B261" s="57">
        <f>MERSEYSIDE!D31</f>
        <v>76261</v>
      </c>
      <c r="C261" s="57">
        <f t="shared" si="8"/>
        <v>1492</v>
      </c>
      <c r="D261" s="58">
        <f t="shared" si="9"/>
        <v>1.9954794099158742E-2</v>
      </c>
      <c r="E261" s="59"/>
      <c r="F261" s="59"/>
      <c r="G261" s="59"/>
    </row>
    <row r="262" spans="1:7">
      <c r="A262" s="54" t="str">
        <f>MERSEYSIDE!A33</f>
        <v>Liverpool West Derby BC</v>
      </c>
      <c r="B262" s="57">
        <f>MERSEYSIDE!D33</f>
        <v>73950</v>
      </c>
      <c r="C262" s="57">
        <f t="shared" si="8"/>
        <v>-819</v>
      </c>
      <c r="D262" s="58">
        <f t="shared" si="9"/>
        <v>-1.0953737511535529E-2</v>
      </c>
      <c r="E262" s="59"/>
      <c r="F262" s="59"/>
      <c r="G262" s="59"/>
    </row>
    <row r="263" spans="1:7">
      <c r="A263" s="54" t="str">
        <f>LEICESTERSHIRE!A41</f>
        <v>Loughborough and Rushcliffe South CC</v>
      </c>
      <c r="B263" s="57">
        <f>LEICESTERSHIRE!D43</f>
        <v>73074</v>
      </c>
      <c r="C263" s="57">
        <f t="shared" si="8"/>
        <v>-1695</v>
      </c>
      <c r="D263" s="58">
        <f t="shared" si="9"/>
        <v>-2.266982305500943E-2</v>
      </c>
      <c r="E263" s="59"/>
      <c r="F263" s="59"/>
      <c r="G263" s="59"/>
    </row>
    <row r="264" spans="1:7">
      <c r="A264" s="54" t="str">
        <f>LINCOLNSHIRE!A28</f>
        <v>Louth and Horncastle CC</v>
      </c>
      <c r="B264" s="57">
        <f>LINCOLNSHIRE!D28</f>
        <v>75022</v>
      </c>
      <c r="C264" s="57">
        <f t="shared" si="8"/>
        <v>253</v>
      </c>
      <c r="D264" s="58">
        <f t="shared" si="9"/>
        <v>3.3837552996562746E-3</v>
      </c>
      <c r="E264" s="59"/>
      <c r="F264" s="59"/>
      <c r="G264" s="59"/>
    </row>
    <row r="265" spans="1:7">
      <c r="A265" s="54" t="str">
        <f>'SHROPSHIRE &amp; TELFORD &amp; WREKIN '!A7</f>
        <v>Ludlow and Leominster CC</v>
      </c>
      <c r="B265" s="57">
        <f>'SHROPSHIRE &amp; TELFORD &amp; WREKIN '!D9</f>
        <v>77533</v>
      </c>
      <c r="C265" s="57">
        <f t="shared" si="8"/>
        <v>2764</v>
      </c>
      <c r="D265" s="58">
        <f t="shared" si="9"/>
        <v>3.6967192285572895E-2</v>
      </c>
      <c r="E265" s="59"/>
      <c r="F265" s="59"/>
      <c r="G265" s="59"/>
    </row>
    <row r="266" spans="1:7">
      <c r="A266" s="54" t="str">
        <f>BEDFORDSHIRE!A10</f>
        <v>Luton North and Houghton BC</v>
      </c>
      <c r="B266" s="57">
        <f>BEDFORDSHIRE!D12</f>
        <v>71188</v>
      </c>
      <c r="C266" s="57">
        <f t="shared" si="8"/>
        <v>-3581</v>
      </c>
      <c r="D266" s="58">
        <f t="shared" si="9"/>
        <v>-4.7894180743356204E-2</v>
      </c>
      <c r="E266" s="59"/>
      <c r="F266" s="59"/>
      <c r="G266" s="59"/>
    </row>
    <row r="267" spans="1:7">
      <c r="A267" s="54" t="str">
        <f>BEDFORDSHIRE!A14</f>
        <v>Luton South BC</v>
      </c>
      <c r="B267" s="57">
        <f>BEDFORDSHIRE!D16</f>
        <v>71881</v>
      </c>
      <c r="C267" s="57">
        <f t="shared" si="8"/>
        <v>-2888</v>
      </c>
      <c r="D267" s="58">
        <f t="shared" si="9"/>
        <v>-3.8625633618210753E-2</v>
      </c>
      <c r="E267" s="59"/>
      <c r="F267" s="59"/>
      <c r="G267" s="59"/>
    </row>
    <row r="268" spans="1:7">
      <c r="A268" s="54" t="str">
        <f>CHESHIRE!A33</f>
        <v>Macclesfield CC</v>
      </c>
      <c r="B268" s="57">
        <f>CHESHIRE!D33</f>
        <v>73696</v>
      </c>
      <c r="C268" s="57">
        <f t="shared" si="8"/>
        <v>-1073</v>
      </c>
      <c r="D268" s="58">
        <f t="shared" si="9"/>
        <v>-1.4350867338067915E-2</v>
      </c>
      <c r="E268" s="59"/>
      <c r="F268" s="59"/>
      <c r="G268" s="59"/>
    </row>
    <row r="269" spans="1:7">
      <c r="A269" s="54" t="str">
        <f>'"BERKSHIRE"'!A15</f>
        <v>Maidenhead CC</v>
      </c>
      <c r="B269" s="57">
        <f>'"BERKSHIRE"'!D17</f>
        <v>71834</v>
      </c>
      <c r="C269" s="57">
        <f t="shared" si="8"/>
        <v>-2935</v>
      </c>
      <c r="D269" s="58">
        <f t="shared" si="9"/>
        <v>-3.9254236381388009E-2</v>
      </c>
      <c r="E269" s="59"/>
      <c r="F269" s="59"/>
      <c r="G269" s="59"/>
    </row>
    <row r="270" spans="1:7">
      <c r="A270" s="54" t="str">
        <f>KENT!A53</f>
        <v>Maidstone CC</v>
      </c>
      <c r="B270" s="57">
        <f>KENT!D53</f>
        <v>71284</v>
      </c>
      <c r="C270" s="57">
        <f t="shared" si="8"/>
        <v>-3485</v>
      </c>
      <c r="D270" s="58">
        <f t="shared" si="9"/>
        <v>-4.6610226163249474E-2</v>
      </c>
      <c r="E270" s="59"/>
      <c r="F270" s="59"/>
      <c r="G270" s="59"/>
    </row>
    <row r="271" spans="1:7">
      <c r="A271" s="54" t="str">
        <f>'GREATER MANCHESTER'!A52</f>
        <v>Makerfield CC</v>
      </c>
      <c r="B271" s="57">
        <f>'GREATER MANCHESTER'!D52</f>
        <v>71857</v>
      </c>
      <c r="C271" s="57">
        <f t="shared" si="8"/>
        <v>-2912</v>
      </c>
      <c r="D271" s="58">
        <f t="shared" si="9"/>
        <v>-3.8946622263237439E-2</v>
      </c>
      <c r="E271" s="59"/>
      <c r="F271" s="59"/>
      <c r="G271" s="59"/>
    </row>
    <row r="272" spans="1:7">
      <c r="A272" s="54" t="str">
        <f>WORCESTERSHIRE!A24</f>
        <v>Malvern and Ledbury CC</v>
      </c>
      <c r="B272" s="57">
        <f>WORCESTERSHIRE!D27</f>
        <v>78172</v>
      </c>
      <c r="C272" s="57">
        <f t="shared" si="8"/>
        <v>3403</v>
      </c>
      <c r="D272" s="58">
        <f t="shared" si="9"/>
        <v>4.5513514959408308E-2</v>
      </c>
      <c r="E272" s="59"/>
      <c r="F272" s="59"/>
      <c r="G272" s="59"/>
    </row>
    <row r="273" spans="1:7">
      <c r="A273" s="54" t="str">
        <f>'GREATER MANCHESTER'!A54</f>
        <v>Manchester Central BC</v>
      </c>
      <c r="B273" s="57">
        <f>'GREATER MANCHESTER'!D54</f>
        <v>76173</v>
      </c>
      <c r="C273" s="57">
        <f t="shared" si="8"/>
        <v>1404</v>
      </c>
      <c r="D273" s="58">
        <f t="shared" si="9"/>
        <v>1.8777835734060909E-2</v>
      </c>
      <c r="E273" s="59"/>
      <c r="F273" s="59"/>
      <c r="G273" s="59"/>
    </row>
    <row r="274" spans="1:7">
      <c r="A274" s="54" t="str">
        <f>'GREATER MANCHESTER'!A56</f>
        <v>Manchester Gorton BC</v>
      </c>
      <c r="B274" s="57">
        <f>'GREATER MANCHESTER'!D56</f>
        <v>74227</v>
      </c>
      <c r="C274" s="57">
        <f t="shared" si="8"/>
        <v>-542</v>
      </c>
      <c r="D274" s="58">
        <f t="shared" si="9"/>
        <v>-7.2489935668525723E-3</v>
      </c>
      <c r="E274" s="59"/>
      <c r="F274" s="59"/>
      <c r="G274" s="59"/>
    </row>
    <row r="275" spans="1:7">
      <c r="A275" s="54" t="str">
        <f>'GREATER MANCHESTER'!A58</f>
        <v>Manchester Withington BC</v>
      </c>
      <c r="B275" s="57">
        <f>'GREATER MANCHESTER'!D58</f>
        <v>74616</v>
      </c>
      <c r="C275" s="57">
        <f t="shared" si="8"/>
        <v>-153</v>
      </c>
      <c r="D275" s="58">
        <f t="shared" si="9"/>
        <v>-2.0463026120450989E-3</v>
      </c>
      <c r="E275" s="59"/>
      <c r="F275" s="59"/>
      <c r="G275" s="59"/>
    </row>
    <row r="276" spans="1:7">
      <c r="A276" s="54" t="str">
        <f>NOTTINGHAMSHIRE!A30</f>
        <v>Mansfield CC</v>
      </c>
      <c r="B276" s="57">
        <f>NOTTINGHAMSHIRE!D30</f>
        <v>74066</v>
      </c>
      <c r="C276" s="57">
        <f t="shared" si="8"/>
        <v>-703</v>
      </c>
      <c r="D276" s="58">
        <f t="shared" si="9"/>
        <v>-9.4022923939065649E-3</v>
      </c>
      <c r="E276" s="59"/>
      <c r="F276" s="59"/>
      <c r="G276" s="59"/>
    </row>
    <row r="277" spans="1:7">
      <c r="A277" s="54" t="str">
        <f>'GREATER MANCHESTER'!A60</f>
        <v>Marple and Hyde CC</v>
      </c>
      <c r="B277" s="57">
        <f>'GREATER MANCHESTER'!D62</f>
        <v>74907</v>
      </c>
      <c r="C277" s="57">
        <f t="shared" si="8"/>
        <v>138</v>
      </c>
      <c r="D277" s="58">
        <f t="shared" si="9"/>
        <v>1.8456847089034225E-3</v>
      </c>
      <c r="E277" s="59"/>
      <c r="F277" s="59"/>
      <c r="G277" s="59"/>
    </row>
    <row r="278" spans="1:7">
      <c r="A278" s="54" t="str">
        <f>MERTON!A5</f>
        <v>Merton and Wimbledon Central BC</v>
      </c>
      <c r="B278" s="57">
        <f>MERTON!D5</f>
        <v>77100</v>
      </c>
      <c r="C278" s="57">
        <f t="shared" si="8"/>
        <v>2331</v>
      </c>
      <c r="D278" s="58">
        <f t="shared" si="9"/>
        <v>3.1176022148216506E-2</v>
      </c>
      <c r="E278" s="59"/>
      <c r="F278" s="59"/>
      <c r="G278" s="59"/>
    </row>
    <row r="279" spans="1:7">
      <c r="A279" s="54" t="str">
        <f>BEDFORDSHIRE!A18</f>
        <v>Mid Bedfordshire CC</v>
      </c>
      <c r="B279" s="57">
        <f>BEDFORDSHIRE!D20</f>
        <v>71365</v>
      </c>
      <c r="C279" s="57">
        <f t="shared" si="8"/>
        <v>-3404</v>
      </c>
      <c r="D279" s="58">
        <f t="shared" si="9"/>
        <v>-4.5526889486284423E-2</v>
      </c>
      <c r="E279" s="59"/>
      <c r="F279" s="59"/>
      <c r="G279" s="59"/>
    </row>
    <row r="280" spans="1:7">
      <c r="A280" s="54" t="str">
        <f>NORFOLK!A22</f>
        <v>Mid Norfolk CC</v>
      </c>
      <c r="B280" s="57">
        <f>NORFOLK!D24</f>
        <v>72791</v>
      </c>
      <c r="C280" s="57">
        <f t="shared" si="8"/>
        <v>-1978</v>
      </c>
      <c r="D280" s="58">
        <f t="shared" si="9"/>
        <v>-2.6454814160949056E-2</v>
      </c>
      <c r="E280" s="59"/>
      <c r="F280" s="59"/>
      <c r="G280" s="59"/>
    </row>
    <row r="281" spans="1:7">
      <c r="A281" s="54" t="str">
        <f>'WEST SUSSEX'!A35</f>
        <v>Mid Sussex CC</v>
      </c>
      <c r="B281" s="57">
        <f>'WEST SUSSEX'!D35</f>
        <v>77031</v>
      </c>
      <c r="C281" s="57">
        <f t="shared" si="8"/>
        <v>2262</v>
      </c>
      <c r="D281" s="58">
        <f t="shared" si="9"/>
        <v>3.0253179793764795E-2</v>
      </c>
      <c r="E281" s="59"/>
      <c r="F281" s="59"/>
      <c r="G281" s="59"/>
    </row>
    <row r="282" spans="1:7">
      <c r="A282" s="54" t="str">
        <f>'"CLEVELAND"'!A17</f>
        <v>Middlesbrough North East and Redcar BC</v>
      </c>
      <c r="B282" s="57">
        <f>'"CLEVELAND"'!D19</f>
        <v>78214</v>
      </c>
      <c r="C282" s="57">
        <f t="shared" si="8"/>
        <v>3445</v>
      </c>
      <c r="D282" s="58">
        <f t="shared" si="9"/>
        <v>4.6075245088205007E-2</v>
      </c>
      <c r="E282" s="59"/>
      <c r="F282" s="59"/>
      <c r="G282" s="59"/>
    </row>
    <row r="283" spans="1:7">
      <c r="A283" s="54" t="str">
        <f>'"CLEVELAND"'!A21</f>
        <v>Middlesbrough South and East Cleveland CC</v>
      </c>
      <c r="B283" s="57">
        <f>'"CLEVELAND"'!D23</f>
        <v>75590</v>
      </c>
      <c r="C283" s="57">
        <f t="shared" si="8"/>
        <v>821</v>
      </c>
      <c r="D283" s="58">
        <f t="shared" si="9"/>
        <v>1.0980486565287753E-2</v>
      </c>
      <c r="E283" s="59"/>
      <c r="F283" s="59"/>
      <c r="G283" s="59"/>
    </row>
    <row r="284" spans="1:7">
      <c r="A284" s="54" t="str">
        <f>'"CLEVELAND"'!A25</f>
        <v>Middlesbrough West and Stockton East BC</v>
      </c>
      <c r="B284" s="57">
        <f>'"CLEVELAND"'!D27</f>
        <v>78071</v>
      </c>
      <c r="C284" s="57">
        <f t="shared" si="8"/>
        <v>3302</v>
      </c>
      <c r="D284" s="58">
        <f t="shared" si="9"/>
        <v>4.4162687744921027E-2</v>
      </c>
      <c r="E284" s="59"/>
      <c r="F284" s="59"/>
      <c r="G284" s="59"/>
    </row>
    <row r="285" spans="1:7">
      <c r="A285" s="54" t="str">
        <f>BUCKINGHAMSHIRE!A27</f>
        <v>Milton Keynes Bletchley BC</v>
      </c>
      <c r="B285" s="57">
        <f>BUCKINGHAMSHIRE!D27</f>
        <v>74374</v>
      </c>
      <c r="C285" s="57">
        <f t="shared" si="8"/>
        <v>-395</v>
      </c>
      <c r="D285" s="58">
        <f t="shared" si="9"/>
        <v>-5.2829381160641445E-3</v>
      </c>
      <c r="E285" s="59"/>
      <c r="F285" s="59"/>
      <c r="G285" s="59"/>
    </row>
    <row r="286" spans="1:7">
      <c r="A286" s="54" t="str">
        <f>BUCKINGHAMSHIRE!A29</f>
        <v>Milton Keynes Newport Pagnell CC</v>
      </c>
      <c r="B286" s="57">
        <f>BUCKINGHAMSHIRE!D29</f>
        <v>78294</v>
      </c>
      <c r="C286" s="57">
        <f t="shared" si="8"/>
        <v>3525</v>
      </c>
      <c r="D286" s="58">
        <f t="shared" si="9"/>
        <v>4.7145207238293949E-2</v>
      </c>
      <c r="E286" s="59"/>
      <c r="F286" s="59"/>
      <c r="G286" s="59"/>
    </row>
    <row r="287" spans="1:7">
      <c r="A287" s="54" t="str">
        <f>SURREY!A32</f>
        <v>Mole Valley CC</v>
      </c>
      <c r="B287" s="57">
        <f>SURREY!D35</f>
        <v>73419</v>
      </c>
      <c r="C287" s="57">
        <f t="shared" si="8"/>
        <v>-1350</v>
      </c>
      <c r="D287" s="58">
        <f t="shared" si="9"/>
        <v>-1.8055611282750874E-2</v>
      </c>
      <c r="E287" s="59"/>
      <c r="F287" s="59"/>
      <c r="G287" s="59"/>
    </row>
    <row r="288" spans="1:7">
      <c r="A288" s="54" t="str">
        <f>HAMPSHIRE!A40</f>
        <v>New Forest East CC</v>
      </c>
      <c r="B288" s="57">
        <f>HAMPSHIRE!D42</f>
        <v>72520</v>
      </c>
      <c r="C288" s="57">
        <f t="shared" si="8"/>
        <v>-2249</v>
      </c>
      <c r="D288" s="58">
        <f t="shared" si="9"/>
        <v>-3.0079310944375343E-2</v>
      </c>
      <c r="E288" s="59"/>
      <c r="F288" s="59"/>
      <c r="G288" s="59"/>
    </row>
    <row r="289" spans="1:7">
      <c r="A289" s="54" t="str">
        <f>HAMPSHIRE!A44</f>
        <v>New Forest West CC</v>
      </c>
      <c r="B289" s="57">
        <f>HAMPSHIRE!D44</f>
        <v>71289</v>
      </c>
      <c r="C289" s="57">
        <f t="shared" si="8"/>
        <v>-3480</v>
      </c>
      <c r="D289" s="58">
        <f t="shared" si="9"/>
        <v>-4.6543353528868917E-2</v>
      </c>
      <c r="E289" s="59"/>
      <c r="F289" s="59"/>
      <c r="G289" s="59"/>
    </row>
    <row r="290" spans="1:7">
      <c r="A290" s="54" t="str">
        <f>NOTTINGHAMSHIRE!A32</f>
        <v>Newark CC</v>
      </c>
      <c r="B290" s="57">
        <f>NOTTINGHAMSHIRE!D35</f>
        <v>75646</v>
      </c>
      <c r="C290" s="57">
        <f t="shared" si="8"/>
        <v>877</v>
      </c>
      <c r="D290" s="58">
        <f t="shared" si="9"/>
        <v>1.1729460070350011E-2</v>
      </c>
      <c r="E290" s="59"/>
      <c r="F290" s="59"/>
      <c r="G290" s="59"/>
    </row>
    <row r="291" spans="1:7">
      <c r="A291" s="54" t="str">
        <f>'"BERKSHIRE"'!A19</f>
        <v>Newbury CC</v>
      </c>
      <c r="B291" s="57">
        <f>'"BERKSHIRE"'!D19</f>
        <v>76793</v>
      </c>
      <c r="C291" s="57">
        <f t="shared" si="8"/>
        <v>2024</v>
      </c>
      <c r="D291" s="58">
        <f t="shared" si="9"/>
        <v>2.7070042397250197E-2</v>
      </c>
      <c r="E291" s="59"/>
      <c r="F291" s="59"/>
      <c r="G291" s="59"/>
    </row>
    <row r="292" spans="1:7">
      <c r="A292" s="54" t="str">
        <f>'TYNE &amp; WEAR'!A32</f>
        <v>Newcastle upon Tyne East BC</v>
      </c>
      <c r="B292" s="57">
        <f>'TYNE &amp; WEAR'!D32</f>
        <v>76406</v>
      </c>
      <c r="C292" s="57">
        <f t="shared" si="8"/>
        <v>1637</v>
      </c>
      <c r="D292" s="58">
        <f t="shared" si="9"/>
        <v>2.1894100496194946E-2</v>
      </c>
      <c r="E292" s="59"/>
      <c r="F292" s="59"/>
      <c r="G292" s="59"/>
    </row>
    <row r="293" spans="1:7">
      <c r="A293" s="54" t="str">
        <f>'TYNE &amp; WEAR'!A34</f>
        <v>Newcastle upon Tyne North West BC</v>
      </c>
      <c r="B293" s="57">
        <f>'TYNE &amp; WEAR'!D36</f>
        <v>71279</v>
      </c>
      <c r="C293" s="57">
        <f t="shared" si="8"/>
        <v>-3490</v>
      </c>
      <c r="D293" s="58">
        <f t="shared" si="9"/>
        <v>-4.6677098797630032E-2</v>
      </c>
      <c r="E293" s="59"/>
      <c r="F293" s="59"/>
      <c r="G293" s="59"/>
    </row>
    <row r="294" spans="1:7">
      <c r="A294" s="54" t="str">
        <f>STAFFORDSHIRE!A25</f>
        <v>Newcastle-under-Lyme BC</v>
      </c>
      <c r="B294" s="57">
        <f>STAFFORDSHIRE!D25</f>
        <v>73174</v>
      </c>
      <c r="C294" s="57">
        <f t="shared" si="8"/>
        <v>-1595</v>
      </c>
      <c r="D294" s="58">
        <f t="shared" si="9"/>
        <v>-2.1332370367398254E-2</v>
      </c>
      <c r="E294" s="59"/>
      <c r="F294" s="59"/>
      <c r="G294" s="59"/>
    </row>
    <row r="295" spans="1:7">
      <c r="A295" s="54" t="str">
        <f>DEVON!A33</f>
        <v>Newton Abbot CC</v>
      </c>
      <c r="B295" s="57">
        <f>DEVON!D33</f>
        <v>71099</v>
      </c>
      <c r="C295" s="57">
        <f t="shared" si="8"/>
        <v>-3670</v>
      </c>
      <c r="D295" s="58">
        <f t="shared" si="9"/>
        <v>-4.9084513635330153E-2</v>
      </c>
      <c r="E295" s="59"/>
      <c r="F295" s="59"/>
      <c r="G295" s="59"/>
    </row>
    <row r="296" spans="1:7">
      <c r="A296" s="54" t="str">
        <f>'WEST YORKSHIRE'!A49</f>
        <v>Normanton, Castleford and Outwood CC</v>
      </c>
      <c r="B296" s="57">
        <f>'WEST YORKSHIRE'!D51</f>
        <v>71277</v>
      </c>
      <c r="C296" s="57">
        <f t="shared" si="8"/>
        <v>-3492</v>
      </c>
      <c r="D296" s="58">
        <f t="shared" si="9"/>
        <v>-4.6703847851382256E-2</v>
      </c>
      <c r="E296" s="59"/>
      <c r="F296" s="59"/>
      <c r="G296" s="59"/>
    </row>
    <row r="297" spans="1:7">
      <c r="A297" s="54" t="str">
        <f>DEVON!A35</f>
        <v>North Devon CC</v>
      </c>
      <c r="B297" s="57">
        <f>DEVON!D35</f>
        <v>73240</v>
      </c>
      <c r="C297" s="57">
        <f t="shared" si="8"/>
        <v>-1529</v>
      </c>
      <c r="D297" s="58">
        <f t="shared" si="9"/>
        <v>-2.0449651593574876E-2</v>
      </c>
      <c r="E297" s="59"/>
      <c r="F297" s="59"/>
      <c r="G297" s="59"/>
    </row>
    <row r="298" spans="1:7">
      <c r="A298" s="54" t="str">
        <f>DURHAM!A23</f>
        <v>North Durham and Chester-le-Street CC</v>
      </c>
      <c r="B298" s="57">
        <f>DURHAM!D25</f>
        <v>71773</v>
      </c>
      <c r="C298" s="57">
        <f t="shared" si="8"/>
        <v>-2996</v>
      </c>
      <c r="D298" s="58">
        <f t="shared" si="9"/>
        <v>-4.0070082520830823E-2</v>
      </c>
      <c r="E298" s="59"/>
      <c r="F298" s="59"/>
      <c r="G298" s="59"/>
    </row>
    <row r="299" spans="1:7">
      <c r="A299" s="54" t="str">
        <f>BEDFORDSHIRE!A22</f>
        <v>North East Bedfordshire CC</v>
      </c>
      <c r="B299" s="57">
        <f>BEDFORDSHIRE!D24</f>
        <v>74198</v>
      </c>
      <c r="C299" s="57">
        <f t="shared" si="8"/>
        <v>-571</v>
      </c>
      <c r="D299" s="58">
        <f t="shared" si="9"/>
        <v>-7.6368548462598133E-3</v>
      </c>
      <c r="E299" s="59"/>
      <c r="F299" s="59"/>
      <c r="G299" s="59"/>
    </row>
    <row r="300" spans="1:7">
      <c r="A300" s="54" t="str">
        <f>CAMBRIDGESHIRE!A19</f>
        <v>North East Cambridgeshire CC</v>
      </c>
      <c r="B300" s="57">
        <f>CAMBRIDGESHIRE!D21</f>
        <v>75727</v>
      </c>
      <c r="C300" s="57">
        <f t="shared" si="8"/>
        <v>958</v>
      </c>
      <c r="D300" s="58">
        <f t="shared" si="9"/>
        <v>1.2812796747315064E-2</v>
      </c>
      <c r="E300" s="59"/>
      <c r="F300" s="59"/>
      <c r="G300" s="59"/>
    </row>
    <row r="301" spans="1:7">
      <c r="A301" s="54" t="str">
        <f>ESSEX!A48</f>
        <v>North East Essex CC</v>
      </c>
      <c r="B301" s="57">
        <f>ESSEX!D50</f>
        <v>77674</v>
      </c>
      <c r="C301" s="57">
        <f t="shared" si="8"/>
        <v>2905</v>
      </c>
      <c r="D301" s="58">
        <f t="shared" si="9"/>
        <v>3.8853000575104657E-2</v>
      </c>
      <c r="E301" s="59"/>
      <c r="F301" s="59"/>
      <c r="G301" s="59"/>
    </row>
    <row r="302" spans="1:7">
      <c r="A302" s="54" t="str">
        <f>HAMPSHIRE!A46</f>
        <v>North East Hampshire CC</v>
      </c>
      <c r="B302" s="57">
        <f>HAMPSHIRE!D49</f>
        <v>71949</v>
      </c>
      <c r="C302" s="57">
        <f t="shared" si="8"/>
        <v>-2820</v>
      </c>
      <c r="D302" s="58">
        <f t="shared" si="9"/>
        <v>-3.7716165790635157E-2</v>
      </c>
      <c r="E302" s="59"/>
      <c r="F302" s="59"/>
      <c r="G302" s="59"/>
    </row>
    <row r="303" spans="1:7">
      <c r="A303" s="54" t="str">
        <f>HERTFORDSHIRE!A35</f>
        <v>North East Hertfordshire CC</v>
      </c>
      <c r="B303" s="57">
        <f>HERTFORDSHIRE!D38</f>
        <v>74449</v>
      </c>
      <c r="C303" s="57">
        <f t="shared" si="8"/>
        <v>-320</v>
      </c>
      <c r="D303" s="58">
        <f t="shared" si="9"/>
        <v>-4.2798486003557627E-3</v>
      </c>
      <c r="E303" s="59"/>
      <c r="F303" s="59"/>
      <c r="G303" s="59"/>
    </row>
    <row r="304" spans="1:7">
      <c r="A304" s="54" t="str">
        <f>'"AVON"'!A27</f>
        <v>North East Somerset CC</v>
      </c>
      <c r="B304" s="57">
        <f>'"AVON"'!D29</f>
        <v>73006</v>
      </c>
      <c r="C304" s="57">
        <f t="shared" si="8"/>
        <v>-1763</v>
      </c>
      <c r="D304" s="58">
        <f t="shared" si="9"/>
        <v>-2.3579290882585029E-2</v>
      </c>
      <c r="E304" s="59"/>
      <c r="F304" s="59"/>
      <c r="G304" s="59"/>
    </row>
    <row r="305" spans="1:7">
      <c r="A305" s="54" t="str">
        <f>KENT!A49</f>
        <v>North Kent Coastal CC</v>
      </c>
      <c r="B305" s="57">
        <f>KENT!D51</f>
        <v>75023</v>
      </c>
      <c r="C305" s="57">
        <f t="shared" si="8"/>
        <v>254</v>
      </c>
      <c r="D305" s="58">
        <f t="shared" si="9"/>
        <v>3.3971298265323864E-3</v>
      </c>
      <c r="E305" s="59"/>
      <c r="F305" s="59"/>
      <c r="G305" s="59"/>
    </row>
    <row r="306" spans="1:7">
      <c r="A306" s="54" t="str">
        <f>LANCASHIRE!A53</f>
        <v>North Lancashire CC</v>
      </c>
      <c r="B306" s="57">
        <f>LANCASHIRE!D57</f>
        <v>71284</v>
      </c>
      <c r="C306" s="57">
        <f t="shared" si="8"/>
        <v>-3485</v>
      </c>
      <c r="D306" s="58">
        <f t="shared" si="9"/>
        <v>-4.6610226163249474E-2</v>
      </c>
      <c r="E306" s="59"/>
      <c r="F306" s="59"/>
      <c r="G306" s="59"/>
    </row>
    <row r="307" spans="1:7">
      <c r="A307" s="54" t="str">
        <f>NORFOLK!A26</f>
        <v>North Norfolk CC</v>
      </c>
      <c r="B307" s="57">
        <f>NORFOLK!D28</f>
        <v>71657</v>
      </c>
      <c r="C307" s="57">
        <f t="shared" si="8"/>
        <v>-3112</v>
      </c>
      <c r="D307" s="58">
        <f t="shared" si="9"/>
        <v>-4.162152763845979E-2</v>
      </c>
      <c r="E307" s="59"/>
      <c r="F307" s="59"/>
      <c r="G307" s="59"/>
    </row>
    <row r="308" spans="1:7">
      <c r="A308" s="54" t="str">
        <f>'SHROPSHIRE &amp; TELFORD &amp; WREKIN '!A11</f>
        <v>North Shropshire CC</v>
      </c>
      <c r="B308" s="57">
        <f>'SHROPSHIRE &amp; TELFORD &amp; WREKIN '!D11</f>
        <v>77768</v>
      </c>
      <c r="C308" s="57">
        <f t="shared" si="8"/>
        <v>2999</v>
      </c>
      <c r="D308" s="58">
        <f t="shared" si="9"/>
        <v>4.0110206101459163E-2</v>
      </c>
      <c r="E308" s="59"/>
      <c r="F308" s="59"/>
      <c r="G308" s="59"/>
    </row>
    <row r="309" spans="1:7">
      <c r="A309" s="54" t="str">
        <f>'"AVON"'!A177</f>
        <v>North Somerset CC</v>
      </c>
      <c r="B309" s="57">
        <f>'"AVON"'!D177</f>
        <v>75979</v>
      </c>
      <c r="C309" s="57">
        <f t="shared" si="8"/>
        <v>1210</v>
      </c>
      <c r="D309" s="58">
        <f t="shared" si="9"/>
        <v>1.6183177520095227E-2</v>
      </c>
      <c r="E309" s="59"/>
      <c r="F309" s="59"/>
      <c r="G309" s="59"/>
    </row>
    <row r="310" spans="1:7">
      <c r="A310" s="54" t="str">
        <f>WILTSHIRE!A15</f>
        <v>North Swindon CC</v>
      </c>
      <c r="B310" s="57">
        <f>WILTSHIRE!D15</f>
        <v>76254</v>
      </c>
      <c r="C310" s="57">
        <f t="shared" si="8"/>
        <v>1485</v>
      </c>
      <c r="D310" s="58">
        <f t="shared" si="9"/>
        <v>1.986117241102596E-2</v>
      </c>
      <c r="E310" s="59"/>
      <c r="F310" s="59"/>
      <c r="G310" s="59"/>
    </row>
    <row r="311" spans="1:7">
      <c r="A311" s="54" t="str">
        <f>'TYNE &amp; WEAR'!A42</f>
        <v>North Tyneside BC</v>
      </c>
      <c r="B311" s="57">
        <f>'TYNE &amp; WEAR'!D42</f>
        <v>76427</v>
      </c>
      <c r="C311" s="57">
        <f t="shared" si="8"/>
        <v>1658</v>
      </c>
      <c r="D311" s="58">
        <f t="shared" si="9"/>
        <v>2.2174965560593295E-2</v>
      </c>
      <c r="E311" s="59"/>
      <c r="F311" s="59"/>
      <c r="G311" s="59"/>
    </row>
    <row r="312" spans="1:7">
      <c r="A312" s="54" t="str">
        <f>WARWICKSHIRE!A17</f>
        <v>North Warwickshire CC</v>
      </c>
      <c r="B312" s="57">
        <f>WARWICKSHIRE!D19</f>
        <v>74124</v>
      </c>
      <c r="C312" s="57">
        <f t="shared" si="8"/>
        <v>-645</v>
      </c>
      <c r="D312" s="58">
        <f t="shared" si="9"/>
        <v>-8.6265698350920829E-3</v>
      </c>
      <c r="E312" s="59"/>
      <c r="F312" s="59"/>
      <c r="G312" s="59"/>
    </row>
    <row r="313" spans="1:7">
      <c r="A313" s="54" t="str">
        <f>CAMBRIDGESHIRE!A28</f>
        <v>North West Cambridgeshire CC</v>
      </c>
      <c r="B313" s="57">
        <f>CAMBRIDGESHIRE!D30</f>
        <v>78279</v>
      </c>
      <c r="C313" s="57">
        <f t="shared" si="8"/>
        <v>3510</v>
      </c>
      <c r="D313" s="58">
        <f t="shared" si="9"/>
        <v>4.6944589335152269E-2</v>
      </c>
      <c r="E313" s="59"/>
      <c r="F313" s="59"/>
      <c r="G313" s="59"/>
    </row>
    <row r="314" spans="1:7">
      <c r="A314" s="54" t="str">
        <f>HAMPSHIRE!A51</f>
        <v>North West Hampshire CC</v>
      </c>
      <c r="B314" s="57">
        <f>HAMPSHIRE!D53</f>
        <v>78317</v>
      </c>
      <c r="C314" s="57">
        <f t="shared" si="8"/>
        <v>3548</v>
      </c>
      <c r="D314" s="58">
        <f t="shared" si="9"/>
        <v>4.7452821356444519E-2</v>
      </c>
      <c r="E314" s="59"/>
      <c r="F314" s="59"/>
      <c r="G314" s="59"/>
    </row>
    <row r="315" spans="1:7">
      <c r="A315" s="54" t="str">
        <f>LEICESTERSHIRE!A45</f>
        <v>North West Leicestershire CC</v>
      </c>
      <c r="B315" s="57">
        <f>LEICESTERSHIRE!D47</f>
        <v>72394</v>
      </c>
      <c r="C315" s="57">
        <f t="shared" si="8"/>
        <v>-2375</v>
      </c>
      <c r="D315" s="58">
        <f t="shared" si="9"/>
        <v>-3.1764501330765423E-2</v>
      </c>
      <c r="E315" s="59"/>
      <c r="F315" s="59"/>
      <c r="G315" s="59"/>
    </row>
    <row r="316" spans="1:7">
      <c r="A316" s="54" t="str">
        <f>NORFOLK!A30</f>
        <v>North West Norfolk CC</v>
      </c>
      <c r="B316" s="57">
        <f>NORFOLK!D30</f>
        <v>72805</v>
      </c>
      <c r="C316" s="57">
        <f t="shared" si="8"/>
        <v>-1964</v>
      </c>
      <c r="D316" s="58">
        <f t="shared" si="9"/>
        <v>-2.6267570784683492E-2</v>
      </c>
      <c r="E316" s="59"/>
      <c r="F316" s="59"/>
      <c r="G316" s="59"/>
    </row>
    <row r="317" spans="1:7">
      <c r="A317" s="54" t="str">
        <f>WILTSHIRE!A11</f>
        <v>North Wiltshire CC</v>
      </c>
      <c r="B317" s="57">
        <f>WILTSHIRE!D11</f>
        <v>77385</v>
      </c>
      <c r="C317" s="57">
        <f t="shared" si="8"/>
        <v>2616</v>
      </c>
      <c r="D317" s="58">
        <f t="shared" si="9"/>
        <v>3.4987762307908357E-2</v>
      </c>
      <c r="E317" s="59"/>
      <c r="F317" s="59"/>
      <c r="G317" s="59"/>
    </row>
    <row r="318" spans="1:7">
      <c r="A318" s="54" t="str">
        <f>NORTHAMPTONSHIRE!A26</f>
        <v>Northampton North BC</v>
      </c>
      <c r="B318" s="57">
        <f>NORTHAMPTONSHIRE!D26</f>
        <v>72743</v>
      </c>
      <c r="C318" s="57">
        <f t="shared" si="8"/>
        <v>-2026</v>
      </c>
      <c r="D318" s="58">
        <f t="shared" si="9"/>
        <v>-2.7096791451002421E-2</v>
      </c>
      <c r="E318" s="59"/>
      <c r="F318" s="59"/>
      <c r="G318" s="59"/>
    </row>
    <row r="319" spans="1:7">
      <c r="A319" s="54" t="str">
        <f>NORTHAMPTONSHIRE!A28</f>
        <v>Northampton South CC</v>
      </c>
      <c r="B319" s="57">
        <f>NORTHAMPTONSHIRE!D31</f>
        <v>74983</v>
      </c>
      <c r="C319" s="57">
        <f t="shared" si="8"/>
        <v>214</v>
      </c>
      <c r="D319" s="58">
        <f t="shared" si="9"/>
        <v>2.8621487514879163E-3</v>
      </c>
      <c r="E319" s="59"/>
      <c r="F319" s="59"/>
      <c r="G319" s="59"/>
    </row>
    <row r="320" spans="1:7">
      <c r="A320" s="54" t="str">
        <f>NORFOLK!A32</f>
        <v>Norwich North BC</v>
      </c>
      <c r="B320" s="57">
        <f>NORFOLK!D34</f>
        <v>71192</v>
      </c>
      <c r="C320" s="57">
        <f t="shared" si="8"/>
        <v>-3577</v>
      </c>
      <c r="D320" s="58">
        <f t="shared" si="9"/>
        <v>-4.7840682635851756E-2</v>
      </c>
      <c r="E320" s="59"/>
      <c r="F320" s="59"/>
      <c r="G320" s="59"/>
    </row>
    <row r="321" spans="1:7">
      <c r="A321" s="54" t="str">
        <f>NORFOLK!A36</f>
        <v>Norwich South BC</v>
      </c>
      <c r="B321" s="57">
        <f>NORFOLK!D38</f>
        <v>71804</v>
      </c>
      <c r="C321" s="57">
        <f t="shared" si="8"/>
        <v>-2965</v>
      </c>
      <c r="D321" s="58">
        <f t="shared" si="9"/>
        <v>-3.9655472187671362E-2</v>
      </c>
      <c r="E321" s="59"/>
      <c r="F321" s="59"/>
      <c r="G321" s="59"/>
    </row>
    <row r="322" spans="1:7">
      <c r="A322" s="54" t="str">
        <f>NOTTINGHAMSHIRE!A37</f>
        <v>Nottingham East and Carlton BC</v>
      </c>
      <c r="B322" s="57">
        <f>NOTTINGHAMSHIRE!D39</f>
        <v>71152</v>
      </c>
      <c r="C322" s="57">
        <f t="shared" si="8"/>
        <v>-3617</v>
      </c>
      <c r="D322" s="58">
        <f t="shared" si="9"/>
        <v>-4.837566371089623E-2</v>
      </c>
      <c r="E322" s="59"/>
      <c r="F322" s="59"/>
      <c r="G322" s="59"/>
    </row>
    <row r="323" spans="1:7">
      <c r="A323" s="54" t="str">
        <f>NOTTINGHAMSHIRE!A41</f>
        <v>Nottingham North BC</v>
      </c>
      <c r="B323" s="57">
        <f>NOTTINGHAMSHIRE!D41</f>
        <v>73828</v>
      </c>
      <c r="C323" s="57">
        <f t="shared" ref="C323:C386" si="10">B323-$B$511</f>
        <v>-941</v>
      </c>
      <c r="D323" s="58">
        <f t="shared" ref="D323:D386" si="11">(B323-$B$511)/$B$511</f>
        <v>-1.2585429790421165E-2</v>
      </c>
      <c r="E323" s="59"/>
      <c r="F323" s="59"/>
      <c r="G323" s="59"/>
    </row>
    <row r="324" spans="1:7">
      <c r="A324" s="54" t="str">
        <f>NOTTINGHAMSHIRE!A43</f>
        <v>Nottingham South and Beeston BC</v>
      </c>
      <c r="B324" s="57">
        <f>NOTTINGHAMSHIRE!D45</f>
        <v>77434</v>
      </c>
      <c r="C324" s="57">
        <f t="shared" si="10"/>
        <v>2665</v>
      </c>
      <c r="D324" s="58">
        <f t="shared" si="11"/>
        <v>3.5643114124837831E-2</v>
      </c>
      <c r="E324" s="59"/>
      <c r="F324" s="59"/>
      <c r="G324" s="59"/>
    </row>
    <row r="325" spans="1:7">
      <c r="A325" s="54" t="str">
        <f>WARWICKSHIRE!A21</f>
        <v>Nuneaton CC</v>
      </c>
      <c r="B325" s="57">
        <f>WARWICKSHIRE!D23</f>
        <v>76385</v>
      </c>
      <c r="C325" s="57">
        <f t="shared" si="10"/>
        <v>1616</v>
      </c>
      <c r="D325" s="58">
        <f t="shared" si="11"/>
        <v>2.16132354317966E-2</v>
      </c>
      <c r="E325" s="59"/>
      <c r="F325" s="59"/>
      <c r="G325" s="59"/>
    </row>
    <row r="326" spans="1:7">
      <c r="A326" s="54" t="str">
        <f>BEXLEY!A7</f>
        <v>Old Bexley and Sidcup BC</v>
      </c>
      <c r="B326" s="57">
        <f>BEXLEY!D7</f>
        <v>72041</v>
      </c>
      <c r="C326" s="57">
        <f t="shared" si="10"/>
        <v>-2728</v>
      </c>
      <c r="D326" s="58">
        <f t="shared" si="11"/>
        <v>-3.6485709318032876E-2</v>
      </c>
      <c r="E326" s="59"/>
      <c r="F326" s="59"/>
      <c r="G326" s="59"/>
    </row>
    <row r="327" spans="1:7">
      <c r="A327" s="54" t="str">
        <f>'GREATER MANCHESTER'!A64</f>
        <v>Oldham BC</v>
      </c>
      <c r="B327" s="57">
        <f>'GREATER MANCHESTER'!D66</f>
        <v>74240</v>
      </c>
      <c r="C327" s="57">
        <f t="shared" si="10"/>
        <v>-529</v>
      </c>
      <c r="D327" s="58">
        <f t="shared" si="11"/>
        <v>-7.0751247174631196E-3</v>
      </c>
      <c r="E327" s="59"/>
      <c r="F327" s="59"/>
      <c r="G327" s="59"/>
    </row>
    <row r="328" spans="1:7">
      <c r="A328" s="54" t="str">
        <f>BROMLEY!A15</f>
        <v>Orpington BC</v>
      </c>
      <c r="B328" s="57">
        <f>BROMLEY!D15</f>
        <v>78277</v>
      </c>
      <c r="C328" s="57">
        <f t="shared" si="10"/>
        <v>3508</v>
      </c>
      <c r="D328" s="58">
        <f t="shared" si="11"/>
        <v>4.6917840281400044E-2</v>
      </c>
      <c r="E328" s="59"/>
      <c r="F328" s="59"/>
      <c r="G328" s="59"/>
    </row>
    <row r="329" spans="1:7">
      <c r="A329" s="54" t="str">
        <f>OXFORDSHIRE!A17</f>
        <v>Oxford East BC</v>
      </c>
      <c r="B329" s="57">
        <f>OXFORDSHIRE!D17</f>
        <v>76194</v>
      </c>
      <c r="C329" s="57">
        <f t="shared" si="10"/>
        <v>1425</v>
      </c>
      <c r="D329" s="58">
        <f t="shared" si="11"/>
        <v>1.9058700798459255E-2</v>
      </c>
      <c r="E329" s="59"/>
      <c r="F329" s="59"/>
      <c r="G329" s="59"/>
    </row>
    <row r="330" spans="1:7">
      <c r="A330" s="54" t="str">
        <f>OXFORDSHIRE!A19</f>
        <v>Oxford West and Abingdon CC</v>
      </c>
      <c r="B330" s="57">
        <f>OXFORDSHIRE!D23</f>
        <v>75606</v>
      </c>
      <c r="C330" s="57">
        <f t="shared" si="10"/>
        <v>837</v>
      </c>
      <c r="D330" s="58">
        <f t="shared" si="11"/>
        <v>1.1194478995305542E-2</v>
      </c>
      <c r="E330" s="59"/>
      <c r="F330" s="59"/>
      <c r="G330" s="59"/>
    </row>
    <row r="331" spans="1:7">
      <c r="A331" s="54" t="str">
        <f>LEWISHAM!A11</f>
        <v>Peckham and Lewisham West BC</v>
      </c>
      <c r="B331" s="57">
        <f>LEWISHAM!D13</f>
        <v>77356</v>
      </c>
      <c r="C331" s="57">
        <f t="shared" si="10"/>
        <v>2587</v>
      </c>
      <c r="D331" s="58">
        <f t="shared" si="11"/>
        <v>3.4599901028501114E-2</v>
      </c>
      <c r="E331" s="59"/>
      <c r="F331" s="59"/>
      <c r="G331" s="59"/>
    </row>
    <row r="332" spans="1:7">
      <c r="A332" s="54" t="str">
        <f>CUMBRIA!A19</f>
        <v>Penrith and Solway CC</v>
      </c>
      <c r="B332" s="57">
        <f>CUMBRIA!D21</f>
        <v>72284</v>
      </c>
      <c r="C332" s="57">
        <f t="shared" si="10"/>
        <v>-2485</v>
      </c>
      <c r="D332" s="58">
        <f t="shared" si="11"/>
        <v>-3.3235699287137717E-2</v>
      </c>
      <c r="E332" s="59"/>
      <c r="F332" s="59"/>
      <c r="G332" s="59"/>
    </row>
    <row r="333" spans="1:7">
      <c r="A333" s="54" t="str">
        <f>CAMBRIDGESHIRE!A32</f>
        <v>Peterborough BC</v>
      </c>
      <c r="B333" s="57">
        <f>CAMBRIDGESHIRE!D32</f>
        <v>77607</v>
      </c>
      <c r="C333" s="57">
        <f t="shared" si="10"/>
        <v>2838</v>
      </c>
      <c r="D333" s="58">
        <f t="shared" si="11"/>
        <v>3.795690727440517E-2</v>
      </c>
      <c r="E333" s="59"/>
      <c r="F333" s="59"/>
      <c r="G333" s="59"/>
    </row>
    <row r="334" spans="1:7">
      <c r="A334" s="54" t="str">
        <f>DEVON!A37</f>
        <v>Plymouth North BC</v>
      </c>
      <c r="B334" s="57">
        <f>DEVON!D37</f>
        <v>75751</v>
      </c>
      <c r="C334" s="57">
        <f t="shared" si="10"/>
        <v>982</v>
      </c>
      <c r="D334" s="58">
        <f t="shared" si="11"/>
        <v>1.3133785392341746E-2</v>
      </c>
      <c r="E334" s="59"/>
      <c r="F334" s="59"/>
      <c r="G334" s="59"/>
    </row>
    <row r="335" spans="1:7">
      <c r="A335" s="54" t="str">
        <f>DEVON!A39</f>
        <v>Plymouth South BC</v>
      </c>
      <c r="B335" s="57">
        <f>DEVON!D39</f>
        <v>78406</v>
      </c>
      <c r="C335" s="57">
        <f t="shared" si="10"/>
        <v>3637</v>
      </c>
      <c r="D335" s="58">
        <f t="shared" si="11"/>
        <v>4.864315424841846E-2</v>
      </c>
      <c r="E335" s="59"/>
      <c r="F335" s="59"/>
      <c r="G335" s="59"/>
    </row>
    <row r="336" spans="1:7">
      <c r="A336" s="54" t="str">
        <f>'WEST YORKSHIRE'!A53</f>
        <v>Pontefract CC</v>
      </c>
      <c r="B336" s="57">
        <f>'WEST YORKSHIRE'!D55</f>
        <v>71246</v>
      </c>
      <c r="C336" s="57">
        <f t="shared" si="10"/>
        <v>-3523</v>
      </c>
      <c r="D336" s="58">
        <f t="shared" si="11"/>
        <v>-4.7118458184541724E-2</v>
      </c>
      <c r="E336" s="59"/>
      <c r="F336" s="59"/>
      <c r="G336" s="59"/>
    </row>
    <row r="337" spans="1:7">
      <c r="A337" s="54" t="str">
        <f>DORSET!A31</f>
        <v>Poole BC</v>
      </c>
      <c r="B337" s="57">
        <f>DORSET!D31</f>
        <v>74927</v>
      </c>
      <c r="C337" s="57">
        <f t="shared" si="10"/>
        <v>158</v>
      </c>
      <c r="D337" s="58">
        <f t="shared" si="11"/>
        <v>2.1131752464256578E-3</v>
      </c>
      <c r="E337" s="59"/>
      <c r="F337" s="59"/>
      <c r="G337" s="59"/>
    </row>
    <row r="338" spans="1:7">
      <c r="A338" s="54" t="str">
        <f>'TOWER HAMLETS'!A13</f>
        <v>Poplar and Limehouse BC</v>
      </c>
      <c r="B338" s="57">
        <f>'TOWER HAMLETS'!D13</f>
        <v>74863</v>
      </c>
      <c r="C338" s="57">
        <f t="shared" si="10"/>
        <v>94</v>
      </c>
      <c r="D338" s="58">
        <f t="shared" si="11"/>
        <v>1.2572055263545053E-3</v>
      </c>
      <c r="E338" s="59"/>
      <c r="F338" s="59"/>
      <c r="G338" s="59"/>
    </row>
    <row r="339" spans="1:7">
      <c r="A339" s="54" t="str">
        <f>HAMPSHIRE!A55</f>
        <v>Portsmouth North BC</v>
      </c>
      <c r="B339" s="57">
        <f>HAMPSHIRE!D57</f>
        <v>75213</v>
      </c>
      <c r="C339" s="57">
        <f t="shared" si="10"/>
        <v>444</v>
      </c>
      <c r="D339" s="58">
        <f t="shared" si="11"/>
        <v>5.9382899329936201E-3</v>
      </c>
      <c r="E339" s="59"/>
      <c r="F339" s="59"/>
      <c r="G339" s="59"/>
    </row>
    <row r="340" spans="1:7">
      <c r="A340" s="54" t="str">
        <f>HAMPSHIRE!A59</f>
        <v>Portsmouth South BC</v>
      </c>
      <c r="B340" s="57">
        <f>HAMPSHIRE!D59</f>
        <v>74253</v>
      </c>
      <c r="C340" s="57">
        <f t="shared" si="10"/>
        <v>-516</v>
      </c>
      <c r="D340" s="58">
        <f t="shared" si="11"/>
        <v>-6.901255868073667E-3</v>
      </c>
      <c r="E340" s="59"/>
      <c r="F340" s="59"/>
      <c r="G340" s="59"/>
    </row>
    <row r="341" spans="1:7">
      <c r="A341" s="54" t="str">
        <f>LANCASHIRE!A59</f>
        <v>Preston BC</v>
      </c>
      <c r="B341" s="57">
        <f>LANCASHIRE!D59</f>
        <v>77324</v>
      </c>
      <c r="C341" s="57">
        <f t="shared" si="10"/>
        <v>2555</v>
      </c>
      <c r="D341" s="58">
        <f t="shared" si="11"/>
        <v>3.4171916168465544E-2</v>
      </c>
      <c r="E341" s="59"/>
      <c r="F341" s="59"/>
      <c r="G341" s="59"/>
    </row>
    <row r="342" spans="1:7">
      <c r="A342" s="54" t="str">
        <f>'GREATER MANCHESTER'!A68</f>
        <v>Prestwich and Middleton BC</v>
      </c>
      <c r="B342" s="57">
        <f>'GREATER MANCHESTER'!D70</f>
        <v>76824</v>
      </c>
      <c r="C342" s="57">
        <f t="shared" si="10"/>
        <v>2055</v>
      </c>
      <c r="D342" s="58">
        <f t="shared" si="11"/>
        <v>2.7484652730409662E-2</v>
      </c>
      <c r="E342" s="59"/>
      <c r="F342" s="59"/>
      <c r="G342" s="59"/>
    </row>
    <row r="343" spans="1:7">
      <c r="A343" s="54" t="str">
        <f>'WEST YORKSHIRE'!A57</f>
        <v>Pudsey BC</v>
      </c>
      <c r="B343" s="57">
        <f>'WEST YORKSHIRE'!D59</f>
        <v>75178</v>
      </c>
      <c r="C343" s="57">
        <f t="shared" si="10"/>
        <v>409</v>
      </c>
      <c r="D343" s="58">
        <f t="shared" si="11"/>
        <v>5.4701814923297084E-3</v>
      </c>
      <c r="E343" s="59"/>
      <c r="F343" s="59"/>
      <c r="G343" s="59"/>
    </row>
    <row r="344" spans="1:7">
      <c r="A344" s="54" t="str">
        <f>WESTMINSTER!A10</f>
        <v>Queen's Park and Regent's Park BC</v>
      </c>
      <c r="B344" s="57">
        <f>WESTMINSTER!D12</f>
        <v>72664</v>
      </c>
      <c r="C344" s="57">
        <f t="shared" si="10"/>
        <v>-2105</v>
      </c>
      <c r="D344" s="58">
        <f t="shared" si="11"/>
        <v>-2.8153379074215251E-2</v>
      </c>
      <c r="E344" s="59"/>
      <c r="F344" s="59"/>
      <c r="G344" s="59"/>
    </row>
    <row r="345" spans="1:7">
      <c r="A345" s="54" t="str">
        <f>ESSEX!A52</f>
        <v>Rayleigh Woodham Ferrers CC</v>
      </c>
      <c r="B345" s="57">
        <f>ESSEX!D55</f>
        <v>73182</v>
      </c>
      <c r="C345" s="57">
        <f t="shared" si="10"/>
        <v>-1587</v>
      </c>
      <c r="D345" s="58">
        <f t="shared" si="11"/>
        <v>-2.122537415238936E-2</v>
      </c>
      <c r="E345" s="59"/>
      <c r="F345" s="59"/>
      <c r="G345" s="59"/>
    </row>
    <row r="346" spans="1:7">
      <c r="A346" s="54" t="str">
        <f>'"BERKSHIRE"'!A21</f>
        <v>Reading East BC</v>
      </c>
      <c r="B346" s="57">
        <f>'"BERKSHIRE"'!D23</f>
        <v>72024</v>
      </c>
      <c r="C346" s="57">
        <f t="shared" si="10"/>
        <v>-2745</v>
      </c>
      <c r="D346" s="58">
        <f t="shared" si="11"/>
        <v>-3.6713076274926773E-2</v>
      </c>
      <c r="E346" s="59"/>
      <c r="F346" s="59"/>
      <c r="G346" s="59"/>
    </row>
    <row r="347" spans="1:7">
      <c r="A347" s="54" t="str">
        <f>'"BERKSHIRE"'!A25</f>
        <v>Reading West BC</v>
      </c>
      <c r="B347" s="57">
        <f>'"BERKSHIRE"'!D27</f>
        <v>72101</v>
      </c>
      <c r="C347" s="57">
        <f t="shared" si="10"/>
        <v>-2668</v>
      </c>
      <c r="D347" s="58">
        <f t="shared" si="11"/>
        <v>-3.5683237705466171E-2</v>
      </c>
      <c r="E347" s="59"/>
      <c r="F347" s="59"/>
      <c r="G347" s="59"/>
    </row>
    <row r="348" spans="1:7">
      <c r="A348" s="54" t="str">
        <f>WORCESTERSHIRE!A20</f>
        <v>Redditch CC</v>
      </c>
      <c r="B348" s="57">
        <f>WORCESTERSHIRE!D22</f>
        <v>77756</v>
      </c>
      <c r="C348" s="57">
        <f t="shared" si="10"/>
        <v>2987</v>
      </c>
      <c r="D348" s="58">
        <f t="shared" si="11"/>
        <v>3.9949711778945816E-2</v>
      </c>
      <c r="E348" s="59"/>
      <c r="F348" s="59"/>
      <c r="G348" s="59"/>
    </row>
    <row r="349" spans="1:7">
      <c r="A349" s="54" t="str">
        <f>SURREY!A37</f>
        <v>Reigate BC</v>
      </c>
      <c r="B349" s="57">
        <f>SURREY!D37</f>
        <v>71778</v>
      </c>
      <c r="C349" s="57">
        <f t="shared" si="10"/>
        <v>-2991</v>
      </c>
      <c r="D349" s="58">
        <f t="shared" si="11"/>
        <v>-4.0003209886450265E-2</v>
      </c>
      <c r="E349" s="59"/>
      <c r="F349" s="59"/>
      <c r="G349" s="59"/>
    </row>
    <row r="350" spans="1:7">
      <c r="A350" s="54" t="str">
        <f>'NORTH YORKSHIRE'!A25</f>
        <v>Richmond (Yorks) CC</v>
      </c>
      <c r="B350" s="57">
        <f>'NORTH YORKSHIRE'!D27</f>
        <v>72129</v>
      </c>
      <c r="C350" s="57">
        <f t="shared" si="10"/>
        <v>-2640</v>
      </c>
      <c r="D350" s="58">
        <f t="shared" si="11"/>
        <v>-3.5308750952935043E-2</v>
      </c>
      <c r="E350" s="59"/>
      <c r="F350" s="59"/>
      <c r="G350" s="59"/>
    </row>
    <row r="351" spans="1:7">
      <c r="A351" s="54" t="str">
        <f>KINGSTON!A7</f>
        <v>Richmond Park BC</v>
      </c>
      <c r="B351" s="57">
        <f>KINGSTON!D9</f>
        <v>74740</v>
      </c>
      <c r="C351" s="57">
        <f t="shared" si="10"/>
        <v>-29</v>
      </c>
      <c r="D351" s="58">
        <f t="shared" si="11"/>
        <v>-3.8786127940724097E-4</v>
      </c>
      <c r="E351" s="59"/>
      <c r="F351" s="59"/>
      <c r="G351" s="59"/>
    </row>
    <row r="352" spans="1:7">
      <c r="A352" s="54" t="str">
        <f>'GREATER MANCHESTER'!A72</f>
        <v>Rochdale CC</v>
      </c>
      <c r="B352" s="57">
        <f>'GREATER MANCHESTER'!D72</f>
        <v>73781</v>
      </c>
      <c r="C352" s="57">
        <f t="shared" si="10"/>
        <v>-988</v>
      </c>
      <c r="D352" s="58">
        <f t="shared" si="11"/>
        <v>-1.3214032553598416E-2</v>
      </c>
      <c r="E352" s="59"/>
      <c r="F352" s="59"/>
      <c r="G352" s="59"/>
    </row>
    <row r="353" spans="1:7">
      <c r="A353" s="54" t="str">
        <f>KENT!A55</f>
        <v>Rochester and Strood CC</v>
      </c>
      <c r="B353" s="57">
        <f>KENT!D57</f>
        <v>78455</v>
      </c>
      <c r="C353" s="57">
        <f t="shared" si="10"/>
        <v>3686</v>
      </c>
      <c r="D353" s="58">
        <f t="shared" si="11"/>
        <v>4.9298506065347941E-2</v>
      </c>
      <c r="E353" s="59"/>
      <c r="F353" s="59"/>
      <c r="G353" s="59"/>
    </row>
    <row r="354" spans="1:7">
      <c r="A354" s="54" t="str">
        <f>ESSEX!A57</f>
        <v>Rochford and Southend East CC</v>
      </c>
      <c r="B354" s="57">
        <f>ESSEX!D59</f>
        <v>72970</v>
      </c>
      <c r="C354" s="57">
        <f t="shared" si="10"/>
        <v>-1799</v>
      </c>
      <c r="D354" s="58">
        <f t="shared" si="11"/>
        <v>-2.4060773850125051E-2</v>
      </c>
      <c r="E354" s="59"/>
      <c r="F354" s="59"/>
      <c r="G354" s="59"/>
    </row>
    <row r="355" spans="1:7">
      <c r="A355" s="54" t="str">
        <f>HAVERING!A7</f>
        <v>Romford BC</v>
      </c>
      <c r="B355" s="57">
        <f>HAVERING!D9</f>
        <v>78179</v>
      </c>
      <c r="C355" s="57">
        <f t="shared" si="10"/>
        <v>3410</v>
      </c>
      <c r="D355" s="58">
        <f t="shared" si="11"/>
        <v>4.5607136647541097E-2</v>
      </c>
      <c r="E355" s="59"/>
      <c r="F355" s="59"/>
      <c r="G355" s="59"/>
    </row>
    <row r="356" spans="1:7">
      <c r="A356" s="54" t="str">
        <f>LANCASHIRE!A61</f>
        <v>Rossendale and Darwen CC</v>
      </c>
      <c r="B356" s="57">
        <f>LANCASHIRE!D63</f>
        <v>74991</v>
      </c>
      <c r="C356" s="57">
        <f t="shared" si="10"/>
        <v>222</v>
      </c>
      <c r="D356" s="58">
        <f t="shared" si="11"/>
        <v>2.9691449664968101E-3</v>
      </c>
      <c r="E356" s="59"/>
      <c r="F356" s="59"/>
      <c r="G356" s="59"/>
    </row>
    <row r="357" spans="1:7">
      <c r="A357" s="54" t="str">
        <f>'SOUTH YORKSHIRE'!A28</f>
        <v>Rother Valley CC</v>
      </c>
      <c r="B357" s="57">
        <f>'SOUTH YORKSHIRE'!D30</f>
        <v>71519</v>
      </c>
      <c r="C357" s="57">
        <f t="shared" si="10"/>
        <v>-3250</v>
      </c>
      <c r="D357" s="58">
        <f t="shared" si="11"/>
        <v>-4.3467212347363213E-2</v>
      </c>
      <c r="E357" s="59"/>
      <c r="F357" s="59"/>
      <c r="G357" s="59"/>
    </row>
    <row r="358" spans="1:7">
      <c r="A358" s="54" t="str">
        <f>'SOUTH YORKSHIRE'!A32</f>
        <v>Rotherham BC</v>
      </c>
      <c r="B358" s="57">
        <f>'SOUTH YORKSHIRE'!D32</f>
        <v>72571</v>
      </c>
      <c r="C358" s="57">
        <f t="shared" si="10"/>
        <v>-2198</v>
      </c>
      <c r="D358" s="58">
        <f t="shared" si="11"/>
        <v>-2.9397210073693641E-2</v>
      </c>
      <c r="E358" s="59"/>
      <c r="F358" s="59"/>
      <c r="G358" s="59"/>
    </row>
    <row r="359" spans="1:7">
      <c r="A359" s="54" t="str">
        <f>WARWICKSHIRE!A25</f>
        <v>Rugby and Southam CC</v>
      </c>
      <c r="B359" s="57">
        <f>WARWICKSHIRE!D27</f>
        <v>77230</v>
      </c>
      <c r="C359" s="57">
        <f t="shared" si="10"/>
        <v>2461</v>
      </c>
      <c r="D359" s="58">
        <f t="shared" si="11"/>
        <v>3.2914710642111038E-2</v>
      </c>
      <c r="E359" s="59"/>
      <c r="F359" s="59"/>
      <c r="G359" s="59"/>
    </row>
    <row r="360" spans="1:7">
      <c r="A360" s="54" t="str">
        <f>HILLINGDON!A11</f>
        <v>Ruislip, Northwood and Pinner BC</v>
      </c>
      <c r="B360" s="57">
        <f>HILLINGDON!D13</f>
        <v>74037</v>
      </c>
      <c r="C360" s="57">
        <f t="shared" si="10"/>
        <v>-732</v>
      </c>
      <c r="D360" s="58">
        <f t="shared" si="11"/>
        <v>-9.7901536733138068E-3</v>
      </c>
      <c r="E360" s="59"/>
      <c r="F360" s="59"/>
      <c r="G360" s="59"/>
    </row>
    <row r="361" spans="1:7">
      <c r="A361" s="54" t="str">
        <f>SURREY!A39</f>
        <v>Runnymede and Weybridge CC</v>
      </c>
      <c r="B361" s="57">
        <f>SURREY!D42</f>
        <v>71724</v>
      </c>
      <c r="C361" s="57">
        <f t="shared" si="10"/>
        <v>-3045</v>
      </c>
      <c r="D361" s="58">
        <f t="shared" si="11"/>
        <v>-4.0725434337760304E-2</v>
      </c>
      <c r="E361" s="59"/>
      <c r="F361" s="59"/>
      <c r="G361" s="59"/>
    </row>
    <row r="362" spans="1:7">
      <c r="A362" s="54" t="str">
        <f>LEICESTERSHIRE!A49</f>
        <v>Rutland and Melton CC</v>
      </c>
      <c r="B362" s="57">
        <f>LEICESTERSHIRE!D53</f>
        <v>73653</v>
      </c>
      <c r="C362" s="57">
        <f t="shared" si="10"/>
        <v>-1116</v>
      </c>
      <c r="D362" s="58">
        <f t="shared" si="11"/>
        <v>-1.4925971993740721E-2</v>
      </c>
      <c r="E362" s="59"/>
      <c r="F362" s="59"/>
      <c r="G362" s="59"/>
    </row>
    <row r="363" spans="1:7">
      <c r="A363" s="54" t="str">
        <f>ESSEX!A61</f>
        <v>Saffron Walden CC</v>
      </c>
      <c r="B363" s="57">
        <f>ESSEX!D63</f>
        <v>72780</v>
      </c>
      <c r="C363" s="57">
        <f t="shared" si="10"/>
        <v>-1989</v>
      </c>
      <c r="D363" s="58">
        <f t="shared" si="11"/>
        <v>-2.6601933956586287E-2</v>
      </c>
      <c r="E363" s="59"/>
      <c r="F363" s="59"/>
      <c r="G363" s="59"/>
    </row>
    <row r="364" spans="1:7">
      <c r="A364" s="54" t="str">
        <f>'GREATER MANCHESTER'!A74</f>
        <v>Salford and Eccles BC</v>
      </c>
      <c r="B364" s="57">
        <f>'GREATER MANCHESTER'!D74</f>
        <v>74161</v>
      </c>
      <c r="C364" s="57">
        <f t="shared" si="10"/>
        <v>-608</v>
      </c>
      <c r="D364" s="58">
        <f t="shared" si="11"/>
        <v>-8.1317123406759485E-3</v>
      </c>
      <c r="E364" s="59"/>
      <c r="F364" s="59"/>
      <c r="G364" s="59"/>
    </row>
    <row r="365" spans="1:7">
      <c r="A365" s="54" t="str">
        <f>WILTSHIRE!A13</f>
        <v>Salisbury CC</v>
      </c>
      <c r="B365" s="57">
        <f>WILTSHIRE!D13</f>
        <v>77247</v>
      </c>
      <c r="C365" s="57">
        <f t="shared" si="10"/>
        <v>2478</v>
      </c>
      <c r="D365" s="58">
        <f t="shared" si="11"/>
        <v>3.3142077599004935E-2</v>
      </c>
      <c r="E365" s="59"/>
      <c r="F365" s="59"/>
      <c r="G365" s="59"/>
    </row>
    <row r="366" spans="1:7">
      <c r="A366" s="54" t="str">
        <f>'NORTH YORKSHIRE'!A29</f>
        <v>Scarborough and Whitby CC</v>
      </c>
      <c r="B366" s="57">
        <f>'NORTH YORKSHIRE'!D29</f>
        <v>75963</v>
      </c>
      <c r="C366" s="57">
        <f t="shared" si="10"/>
        <v>1194</v>
      </c>
      <c r="D366" s="58">
        <f t="shared" si="11"/>
        <v>1.5969185090077439E-2</v>
      </c>
      <c r="E366" s="59"/>
      <c r="F366" s="59"/>
      <c r="G366" s="59"/>
    </row>
    <row r="367" spans="1:7">
      <c r="A367" s="54" t="str">
        <f>'"HUMBERSIDE"'!A31</f>
        <v>Scunthorpe CC</v>
      </c>
      <c r="B367" s="57">
        <f>'"HUMBERSIDE"'!D31</f>
        <v>71820</v>
      </c>
      <c r="C367" s="57">
        <f t="shared" si="10"/>
        <v>-2949</v>
      </c>
      <c r="D367" s="58">
        <f t="shared" si="11"/>
        <v>-3.9441479757653573E-2</v>
      </c>
      <c r="E367" s="59"/>
      <c r="F367" s="59"/>
      <c r="G367" s="59"/>
    </row>
    <row r="368" spans="1:7">
      <c r="A368" s="54" t="str">
        <f>MERSEYSIDE!A41</f>
        <v>Sefton Central CC</v>
      </c>
      <c r="B368" s="57">
        <f>MERSEYSIDE!D41</f>
        <v>76378</v>
      </c>
      <c r="C368" s="57">
        <f t="shared" si="10"/>
        <v>1609</v>
      </c>
      <c r="D368" s="58">
        <f t="shared" si="11"/>
        <v>2.1519613743663818E-2</v>
      </c>
      <c r="E368" s="59"/>
      <c r="F368" s="59"/>
      <c r="G368" s="59"/>
    </row>
    <row r="369" spans="1:7">
      <c r="A369" s="54" t="str">
        <f>'NORTH YORKSHIRE'!A31</f>
        <v>Selby and Ainsty CC</v>
      </c>
      <c r="B369" s="57">
        <f>'NORTH YORKSHIRE'!D33</f>
        <v>73217</v>
      </c>
      <c r="C369" s="57">
        <f t="shared" si="10"/>
        <v>-1552</v>
      </c>
      <c r="D369" s="58">
        <f t="shared" si="11"/>
        <v>-2.0757265711725446E-2</v>
      </c>
      <c r="E369" s="59"/>
      <c r="F369" s="59"/>
      <c r="G369" s="59"/>
    </row>
    <row r="370" spans="1:7">
      <c r="A370" s="54" t="str">
        <f>KENT!A59</f>
        <v>Sevenoaks CC</v>
      </c>
      <c r="B370" s="57">
        <f>KENT!D61</f>
        <v>76611</v>
      </c>
      <c r="C370" s="57">
        <f t="shared" si="10"/>
        <v>1842</v>
      </c>
      <c r="D370" s="58">
        <f t="shared" si="11"/>
        <v>2.4635878505797858E-2</v>
      </c>
      <c r="E370" s="59"/>
      <c r="F370" s="59"/>
      <c r="G370" s="59"/>
    </row>
    <row r="371" spans="1:7">
      <c r="A371" s="54" t="str">
        <f>'SOUTH YORKSHIRE'!A34</f>
        <v>Sheffield Central and West BC</v>
      </c>
      <c r="B371" s="57">
        <f>'SOUTH YORKSHIRE'!D34</f>
        <v>71698</v>
      </c>
      <c r="C371" s="57">
        <f t="shared" si="10"/>
        <v>-3071</v>
      </c>
      <c r="D371" s="58">
        <f t="shared" si="11"/>
        <v>-4.1073172036539207E-2</v>
      </c>
      <c r="E371" s="59"/>
      <c r="F371" s="59"/>
      <c r="G371" s="59"/>
    </row>
    <row r="372" spans="1:7">
      <c r="A372" s="54" t="str">
        <f>'SOUTH YORKSHIRE'!A36</f>
        <v>Sheffield East BC</v>
      </c>
      <c r="B372" s="57">
        <f>'SOUTH YORKSHIRE'!D38</f>
        <v>77371</v>
      </c>
      <c r="C372" s="57">
        <f t="shared" si="10"/>
        <v>2602</v>
      </c>
      <c r="D372" s="58">
        <f t="shared" si="11"/>
        <v>3.4800518931642793E-2</v>
      </c>
      <c r="E372" s="59"/>
      <c r="F372" s="59"/>
      <c r="G372" s="59"/>
    </row>
    <row r="373" spans="1:7">
      <c r="A373" s="54" t="str">
        <f>'SOUTH YORKSHIRE'!A40</f>
        <v>Sheffield Hallam and Stocksbridge CC</v>
      </c>
      <c r="B373" s="57">
        <f>'SOUTH YORKSHIRE'!D42</f>
        <v>77540</v>
      </c>
      <c r="C373" s="57">
        <f t="shared" si="10"/>
        <v>2771</v>
      </c>
      <c r="D373" s="58">
        <f t="shared" si="11"/>
        <v>3.7060813973705684E-2</v>
      </c>
      <c r="E373" s="59"/>
      <c r="F373" s="59"/>
      <c r="G373" s="59"/>
    </row>
    <row r="374" spans="1:7">
      <c r="A374" s="54" t="str">
        <f>'SOUTH YORKSHIRE'!A44</f>
        <v>Sheffield North and Ecclesfield BC</v>
      </c>
      <c r="B374" s="57">
        <f>'SOUTH YORKSHIRE'!D46</f>
        <v>77875</v>
      </c>
      <c r="C374" s="57">
        <f t="shared" si="10"/>
        <v>3106</v>
      </c>
      <c r="D374" s="58">
        <f t="shared" si="11"/>
        <v>4.1541280477203117E-2</v>
      </c>
      <c r="E374" s="59"/>
      <c r="F374" s="59"/>
      <c r="G374" s="59"/>
    </row>
    <row r="375" spans="1:7">
      <c r="A375" s="54" t="str">
        <f>'SOUTH YORKSHIRE'!A48</f>
        <v>Sheffield South BC</v>
      </c>
      <c r="B375" s="57">
        <f>'SOUTH YORKSHIRE'!D48</f>
        <v>77795</v>
      </c>
      <c r="C375" s="57">
        <f t="shared" si="10"/>
        <v>3026</v>
      </c>
      <c r="D375" s="58">
        <f t="shared" si="11"/>
        <v>4.0471318327114175E-2</v>
      </c>
      <c r="E375" s="59"/>
      <c r="F375" s="59"/>
      <c r="G375" s="59"/>
    </row>
    <row r="376" spans="1:7">
      <c r="A376" s="54" t="str">
        <f>NOTTINGHAMSHIRE!A47</f>
        <v>Sherwood CC</v>
      </c>
      <c r="B376" s="57">
        <f>NOTTINGHAMSHIRE!D49</f>
        <v>76298</v>
      </c>
      <c r="C376" s="57">
        <f t="shared" si="10"/>
        <v>1529</v>
      </c>
      <c r="D376" s="58">
        <f t="shared" si="11"/>
        <v>2.0449651593574876E-2</v>
      </c>
      <c r="E376" s="59"/>
      <c r="F376" s="59"/>
      <c r="G376" s="59"/>
    </row>
    <row r="377" spans="1:7">
      <c r="A377" s="54" t="str">
        <f>'WEST YORKSHIRE'!A61</f>
        <v>Shipley CC</v>
      </c>
      <c r="B377" s="57">
        <f>'WEST YORKSHIRE'!D63</f>
        <v>77910</v>
      </c>
      <c r="C377" s="57">
        <f t="shared" si="10"/>
        <v>3141</v>
      </c>
      <c r="D377" s="58">
        <f t="shared" si="11"/>
        <v>4.2009388917867027E-2</v>
      </c>
      <c r="E377" s="59"/>
      <c r="F377" s="59"/>
      <c r="G377" s="59"/>
    </row>
    <row r="378" spans="1:7">
      <c r="A378" s="54" t="str">
        <f>'WEST MIDLANDS'!A61</f>
        <v>Shirley and Solihull South BC</v>
      </c>
      <c r="B378" s="57">
        <f>'WEST MIDLANDS'!D63</f>
        <v>77174</v>
      </c>
      <c r="C378" s="57">
        <f t="shared" si="10"/>
        <v>2405</v>
      </c>
      <c r="D378" s="58">
        <f t="shared" si="11"/>
        <v>3.2165737137048775E-2</v>
      </c>
      <c r="E378" s="59"/>
      <c r="F378" s="59"/>
      <c r="G378" s="59"/>
    </row>
    <row r="379" spans="1:7">
      <c r="A379" s="54" t="str">
        <f>'SHROPSHIRE &amp; TELFORD &amp; WREKIN '!A13</f>
        <v>Shrewsbury CC</v>
      </c>
      <c r="B379" s="57">
        <f>'SHROPSHIRE &amp; TELFORD &amp; WREKIN '!D13</f>
        <v>77830</v>
      </c>
      <c r="C379" s="57">
        <f t="shared" si="10"/>
        <v>3061</v>
      </c>
      <c r="D379" s="58">
        <f t="shared" si="11"/>
        <v>4.0939426767778092E-2</v>
      </c>
      <c r="E379" s="59"/>
      <c r="F379" s="59"/>
      <c r="G379" s="59"/>
    </row>
    <row r="380" spans="1:7">
      <c r="A380" s="54" t="str">
        <f>KENT!A63</f>
        <v>Sittingbourne and Sheppey CC</v>
      </c>
      <c r="B380" s="57">
        <f>KENT!D63</f>
        <v>75638</v>
      </c>
      <c r="C380" s="57">
        <f t="shared" si="10"/>
        <v>869</v>
      </c>
      <c r="D380" s="58">
        <f t="shared" si="11"/>
        <v>1.1622463855341117E-2</v>
      </c>
      <c r="E380" s="59"/>
      <c r="F380" s="59"/>
      <c r="G380" s="59"/>
    </row>
    <row r="381" spans="1:7">
      <c r="A381" s="54" t="str">
        <f>'NORTH YORKSHIRE'!A35</f>
        <v>Skipton and Ripon CC</v>
      </c>
      <c r="B381" s="57">
        <f>'NORTH YORKSHIRE'!D37</f>
        <v>71753</v>
      </c>
      <c r="C381" s="57">
        <f t="shared" si="10"/>
        <v>-3016</v>
      </c>
      <c r="D381" s="58">
        <f t="shared" si="11"/>
        <v>-4.033757305835306E-2</v>
      </c>
      <c r="E381" s="59"/>
      <c r="F381" s="59"/>
      <c r="G381" s="59"/>
    </row>
    <row r="382" spans="1:7">
      <c r="A382" s="54" t="str">
        <f>LINCOLNSHIRE!A30</f>
        <v>Sleaford CC</v>
      </c>
      <c r="B382" s="57">
        <f>LINCOLNSHIRE!D32</f>
        <v>74561</v>
      </c>
      <c r="C382" s="57">
        <f t="shared" si="10"/>
        <v>-208</v>
      </c>
      <c r="D382" s="58">
        <f t="shared" si="11"/>
        <v>-2.7819015902312456E-3</v>
      </c>
      <c r="E382" s="59"/>
      <c r="F382" s="59"/>
      <c r="G382" s="59"/>
    </row>
    <row r="383" spans="1:7">
      <c r="A383" s="54" t="str">
        <f>'"BERKSHIRE"'!A29</f>
        <v>Slough BC</v>
      </c>
      <c r="B383" s="57">
        <f>'"BERKSHIRE"'!D29</f>
        <v>71317</v>
      </c>
      <c r="C383" s="57">
        <f t="shared" si="10"/>
        <v>-3452</v>
      </c>
      <c r="D383" s="58">
        <f t="shared" si="11"/>
        <v>-4.6168866776337789E-2</v>
      </c>
      <c r="E383" s="59"/>
      <c r="F383" s="59"/>
      <c r="G383" s="59"/>
    </row>
    <row r="384" spans="1:7">
      <c r="A384" s="54" t="str">
        <f>SOMERSET!A19</f>
        <v>Somerton and Frome CC</v>
      </c>
      <c r="B384" s="57">
        <f>SOMERSET!D21</f>
        <v>72417</v>
      </c>
      <c r="C384" s="57">
        <f t="shared" si="10"/>
        <v>-2352</v>
      </c>
      <c r="D384" s="58">
        <f t="shared" si="11"/>
        <v>-3.1456887212614852E-2</v>
      </c>
      <c r="E384" s="59"/>
      <c r="F384" s="59"/>
      <c r="G384" s="59"/>
    </row>
    <row r="385" spans="1:7">
      <c r="A385" s="54" t="str">
        <f>ESSEX!A65</f>
        <v>South Basildon and East Thurrock CC</v>
      </c>
      <c r="B385" s="57">
        <f>ESSEX!D68</f>
        <v>77670</v>
      </c>
      <c r="C385" s="57">
        <f t="shared" si="10"/>
        <v>2901</v>
      </c>
      <c r="D385" s="58">
        <f t="shared" si="11"/>
        <v>3.8799502467600208E-2</v>
      </c>
      <c r="E385" s="59"/>
      <c r="F385" s="59"/>
      <c r="G385" s="59"/>
    </row>
    <row r="386" spans="1:7">
      <c r="A386" s="54" t="str">
        <f>CAMBRIDGESHIRE!A34</f>
        <v>South Cambridgeshire CC</v>
      </c>
      <c r="B386" s="57">
        <f>CAMBRIDGESHIRE!D36</f>
        <v>77288</v>
      </c>
      <c r="C386" s="57">
        <f t="shared" si="10"/>
        <v>2519</v>
      </c>
      <c r="D386" s="58">
        <f t="shared" si="11"/>
        <v>3.3690433200925518E-2</v>
      </c>
      <c r="E386" s="59"/>
      <c r="F386" s="59"/>
      <c r="G386" s="59"/>
    </row>
    <row r="387" spans="1:7">
      <c r="A387" s="54" t="str">
        <f>DERBYSHIRE!A48</f>
        <v>South Derbyshire CC</v>
      </c>
      <c r="B387" s="57">
        <f>DERBYSHIRE!D50</f>
        <v>77920</v>
      </c>
      <c r="C387" s="57">
        <f t="shared" ref="C387:C450" si="12">B387-$B$511</f>
        <v>3151</v>
      </c>
      <c r="D387" s="58">
        <f t="shared" ref="D387:D450" si="13">(B387-$B$511)/$B$511</f>
        <v>4.2143134186628149E-2</v>
      </c>
      <c r="E387" s="59"/>
      <c r="F387" s="59"/>
      <c r="G387" s="59"/>
    </row>
    <row r="388" spans="1:7">
      <c r="A388" s="54" t="str">
        <f>DORSET!A33</f>
        <v>South Dorset CC</v>
      </c>
      <c r="B388" s="57">
        <f>DORSET!D36</f>
        <v>77608</v>
      </c>
      <c r="C388" s="57">
        <f t="shared" si="12"/>
        <v>2839</v>
      </c>
      <c r="D388" s="58">
        <f t="shared" si="13"/>
        <v>3.7970281801281279E-2</v>
      </c>
      <c r="E388" s="59"/>
      <c r="F388" s="59"/>
      <c r="G388" s="59"/>
    </row>
    <row r="389" spans="1:7">
      <c r="A389" s="54" t="str">
        <f>CAMBRIDGESHIRE!A38</f>
        <v>South East Cambridgeshire CC</v>
      </c>
      <c r="B389" s="57">
        <f>CAMBRIDGESHIRE!D41</f>
        <v>77018</v>
      </c>
      <c r="C389" s="57">
        <f t="shared" si="12"/>
        <v>2249</v>
      </c>
      <c r="D389" s="58">
        <f t="shared" si="13"/>
        <v>3.0079310944375343E-2</v>
      </c>
      <c r="E389" s="59"/>
      <c r="F389" s="59"/>
      <c r="G389" s="59"/>
    </row>
    <row r="390" spans="1:7">
      <c r="A390" s="54" t="str">
        <f>CORNWALL!A15</f>
        <v>South East Cornwall CC</v>
      </c>
      <c r="B390" s="57">
        <f>CORNWALL!D15</f>
        <v>71138</v>
      </c>
      <c r="C390" s="57">
        <f t="shared" si="12"/>
        <v>-3631</v>
      </c>
      <c r="D390" s="58">
        <f t="shared" si="13"/>
        <v>-4.8562907087161794E-2</v>
      </c>
      <c r="E390" s="59"/>
      <c r="F390" s="59"/>
      <c r="G390" s="59"/>
    </row>
    <row r="391" spans="1:7">
      <c r="A391" s="54" t="str">
        <f>LINCOLNSHIRE!A34</f>
        <v>South Holland and The Deepings CC</v>
      </c>
      <c r="B391" s="57">
        <f>LINCOLNSHIRE!D36</f>
        <v>74332</v>
      </c>
      <c r="C391" s="57">
        <f t="shared" si="12"/>
        <v>-437</v>
      </c>
      <c r="D391" s="58">
        <f t="shared" si="13"/>
        <v>-5.8446682448608381E-3</v>
      </c>
      <c r="E391" s="59"/>
      <c r="F391" s="59"/>
      <c r="G391" s="59"/>
    </row>
    <row r="392" spans="1:7">
      <c r="A392" s="54" t="str">
        <f>LEICESTERSHIRE!A55</f>
        <v>South Leicestershire CC</v>
      </c>
      <c r="B392" s="57">
        <f>LEICESTERSHIRE!D57</f>
        <v>71583</v>
      </c>
      <c r="C392" s="57">
        <f t="shared" si="12"/>
        <v>-3186</v>
      </c>
      <c r="D392" s="58">
        <f t="shared" si="13"/>
        <v>-4.2611242627292059E-2</v>
      </c>
      <c r="E392" s="59"/>
      <c r="F392" s="59"/>
      <c r="G392" s="59"/>
    </row>
    <row r="393" spans="1:7">
      <c r="A393" s="54" t="str">
        <f>NORFOLK!A40</f>
        <v>South Norfolk CC</v>
      </c>
      <c r="B393" s="57">
        <f>NORFOLK!D40</f>
        <v>77348</v>
      </c>
      <c r="C393" s="57">
        <f t="shared" si="12"/>
        <v>2579</v>
      </c>
      <c r="D393" s="58">
        <f t="shared" si="13"/>
        <v>3.4492904813492223E-2</v>
      </c>
      <c r="E393" s="59"/>
      <c r="F393" s="59"/>
      <c r="G393" s="59"/>
    </row>
    <row r="394" spans="1:7">
      <c r="A394" s="54" t="str">
        <f>NORTHAMPTONSHIRE!A33</f>
        <v>South Northamptonshire CC</v>
      </c>
      <c r="B394" s="57">
        <f>NORTHAMPTONSHIRE!D35</f>
        <v>73443</v>
      </c>
      <c r="C394" s="57">
        <f t="shared" si="12"/>
        <v>-1326</v>
      </c>
      <c r="D394" s="58">
        <f t="shared" si="13"/>
        <v>-1.7734622637724191E-2</v>
      </c>
      <c r="E394" s="59"/>
      <c r="F394" s="59"/>
      <c r="G394" s="59"/>
    </row>
    <row r="395" spans="1:7">
      <c r="A395" s="54" t="str">
        <f>LANCASHIRE!A65</f>
        <v>South Ribble CC</v>
      </c>
      <c r="B395" s="57">
        <f>LANCASHIRE!D67</f>
        <v>75318</v>
      </c>
      <c r="C395" s="57">
        <f t="shared" si="12"/>
        <v>549</v>
      </c>
      <c r="D395" s="58">
        <f t="shared" si="13"/>
        <v>7.3426152549853551E-3</v>
      </c>
      <c r="E395" s="59"/>
      <c r="F395" s="59"/>
      <c r="G395" s="59"/>
    </row>
    <row r="396" spans="1:7">
      <c r="A396" s="54" t="str">
        <f>'TYNE &amp; WEAR'!A44</f>
        <v>South Shields BC</v>
      </c>
      <c r="B396" s="57">
        <f>'TYNE &amp; WEAR'!D44</f>
        <v>71143</v>
      </c>
      <c r="C396" s="57">
        <f t="shared" si="12"/>
        <v>-3626</v>
      </c>
      <c r="D396" s="58">
        <f t="shared" si="13"/>
        <v>-4.849603445278123E-2</v>
      </c>
      <c r="E396" s="59"/>
      <c r="F396" s="59"/>
      <c r="G396" s="59"/>
    </row>
    <row r="397" spans="1:7">
      <c r="A397" s="54" t="str">
        <f>STAFFORDSHIRE!A27</f>
        <v>South Staffordshire CC</v>
      </c>
      <c r="B397" s="57">
        <f>STAFFORDSHIRE!D27</f>
        <v>72132</v>
      </c>
      <c r="C397" s="57">
        <f t="shared" si="12"/>
        <v>-2637</v>
      </c>
      <c r="D397" s="58">
        <f t="shared" si="13"/>
        <v>-3.5268627372306703E-2</v>
      </c>
      <c r="E397" s="59"/>
      <c r="F397" s="59"/>
      <c r="G397" s="59"/>
    </row>
    <row r="398" spans="1:7">
      <c r="A398" s="54" t="str">
        <f>SUFFOLK!A26</f>
        <v>South Suffolk CC</v>
      </c>
      <c r="B398" s="57">
        <f>SUFFOLK!D29</f>
        <v>73959</v>
      </c>
      <c r="C398" s="57">
        <f t="shared" si="12"/>
        <v>-810</v>
      </c>
      <c r="D398" s="58">
        <f t="shared" si="13"/>
        <v>-1.0833366769650524E-2</v>
      </c>
      <c r="E398" s="59"/>
      <c r="F398" s="59"/>
      <c r="G398" s="59"/>
    </row>
    <row r="399" spans="1:7">
      <c r="A399" s="54" t="str">
        <f>WILTSHIRE!A17</f>
        <v>South Swindon CC</v>
      </c>
      <c r="B399" s="57">
        <f>WILTSHIRE!D17</f>
        <v>72332</v>
      </c>
      <c r="C399" s="57">
        <f t="shared" si="12"/>
        <v>-2437</v>
      </c>
      <c r="D399" s="58">
        <f t="shared" si="13"/>
        <v>-3.2593721997084352E-2</v>
      </c>
      <c r="E399" s="59"/>
      <c r="F399" s="59"/>
      <c r="G399" s="59"/>
    </row>
    <row r="400" spans="1:7">
      <c r="A400" s="54" t="str">
        <f>BEDFORDSHIRE!A26</f>
        <v>South West Bedfordshire CC</v>
      </c>
      <c r="B400" s="57">
        <f>BEDFORDSHIRE!D26</f>
        <v>77673</v>
      </c>
      <c r="C400" s="57">
        <f t="shared" si="12"/>
        <v>2904</v>
      </c>
      <c r="D400" s="58">
        <f t="shared" si="13"/>
        <v>3.8839626048228541E-2</v>
      </c>
      <c r="E400" s="59"/>
      <c r="F400" s="59"/>
      <c r="G400" s="59"/>
    </row>
    <row r="401" spans="1:7">
      <c r="A401" s="54" t="str">
        <f>HERTFORDSHIRE!A40</f>
        <v>South West Hertfordshire CC</v>
      </c>
      <c r="B401" s="57">
        <f>HERTFORDSHIRE!D42</f>
        <v>72404</v>
      </c>
      <c r="C401" s="57">
        <f t="shared" si="12"/>
        <v>-2365</v>
      </c>
      <c r="D401" s="58">
        <f t="shared" si="13"/>
        <v>-3.1630756062004307E-2</v>
      </c>
      <c r="E401" s="59"/>
      <c r="F401" s="59"/>
      <c r="G401" s="59"/>
    </row>
    <row r="402" spans="1:7">
      <c r="A402" s="54" t="str">
        <f>NORFOLK!A42</f>
        <v>South West Norfolk CC</v>
      </c>
      <c r="B402" s="57">
        <f>NORFOLK!D45</f>
        <v>71224</v>
      </c>
      <c r="C402" s="57">
        <f t="shared" si="12"/>
        <v>-3545</v>
      </c>
      <c r="D402" s="58">
        <f t="shared" si="13"/>
        <v>-4.7412697775816179E-2</v>
      </c>
      <c r="E402" s="59"/>
      <c r="F402" s="59"/>
      <c r="G402" s="59"/>
    </row>
    <row r="403" spans="1:7">
      <c r="A403" s="54" t="str">
        <f>SURREY!A44</f>
        <v>South West Surrey CC</v>
      </c>
      <c r="B403" s="57">
        <f>SURREY!D44</f>
        <v>74494</v>
      </c>
      <c r="C403" s="57">
        <f t="shared" si="12"/>
        <v>-275</v>
      </c>
      <c r="D403" s="58">
        <f t="shared" si="13"/>
        <v>-3.6779948909307332E-3</v>
      </c>
      <c r="E403" s="59"/>
      <c r="F403" s="59"/>
      <c r="G403" s="59"/>
    </row>
    <row r="404" spans="1:7">
      <c r="A404" s="54" t="str">
        <f>EALING!A19</f>
        <v>Southall and Heston BC</v>
      </c>
      <c r="B404" s="57">
        <f>EALING!D21</f>
        <v>77237</v>
      </c>
      <c r="C404" s="57">
        <f t="shared" si="12"/>
        <v>2468</v>
      </c>
      <c r="D404" s="58">
        <f t="shared" si="13"/>
        <v>3.300833233024382E-2</v>
      </c>
      <c r="E404" s="59"/>
      <c r="F404" s="59"/>
      <c r="G404" s="59"/>
    </row>
    <row r="405" spans="1:7">
      <c r="A405" s="54" t="str">
        <f>HAMPSHIRE!A61</f>
        <v>Southampton Itchen BC</v>
      </c>
      <c r="B405" s="57">
        <f>HAMPSHIRE!D61</f>
        <v>75474</v>
      </c>
      <c r="C405" s="57">
        <f t="shared" si="12"/>
        <v>705</v>
      </c>
      <c r="D405" s="58">
        <f t="shared" si="13"/>
        <v>9.4290414476587894E-3</v>
      </c>
      <c r="E405" s="59"/>
      <c r="F405" s="59"/>
      <c r="G405" s="59"/>
    </row>
    <row r="406" spans="1:7">
      <c r="A406" s="54" t="str">
        <f>HAMPSHIRE!A63</f>
        <v>Southampton Test BC</v>
      </c>
      <c r="B406" s="57">
        <f>HAMPSHIRE!D63</f>
        <v>72705</v>
      </c>
      <c r="C406" s="57">
        <f t="shared" si="12"/>
        <v>-2064</v>
      </c>
      <c r="D406" s="58">
        <f t="shared" si="13"/>
        <v>-2.7605023472294668E-2</v>
      </c>
      <c r="E406" s="59"/>
      <c r="F406" s="59"/>
      <c r="G406" s="59"/>
    </row>
    <row r="407" spans="1:7">
      <c r="A407" s="54" t="str">
        <f>ESSEX!A70</f>
        <v>Southend West BC</v>
      </c>
      <c r="B407" s="57">
        <f>ESSEX!D72</f>
        <v>74732</v>
      </c>
      <c r="C407" s="57">
        <f t="shared" si="12"/>
        <v>-37</v>
      </c>
      <c r="D407" s="58">
        <f t="shared" si="13"/>
        <v>-4.9485749441613501E-4</v>
      </c>
      <c r="E407" s="59"/>
      <c r="F407" s="59"/>
      <c r="G407" s="59"/>
    </row>
    <row r="408" spans="1:7">
      <c r="A408" s="54" t="str">
        <f>MERSEYSIDE!A43</f>
        <v>Southport CC</v>
      </c>
      <c r="B408" s="57">
        <f>MERSEYSIDE!D45</f>
        <v>75828</v>
      </c>
      <c r="C408" s="57">
        <f t="shared" si="12"/>
        <v>1059</v>
      </c>
      <c r="D408" s="58">
        <f t="shared" si="13"/>
        <v>1.4163623961802351E-2</v>
      </c>
      <c r="E408" s="59"/>
      <c r="F408" s="59"/>
      <c r="G408" s="59"/>
    </row>
    <row r="409" spans="1:7">
      <c r="A409" s="54" t="str">
        <f>SURREY!A46</f>
        <v>Spelthorne BC</v>
      </c>
      <c r="B409" s="57">
        <f>SURREY!D48</f>
        <v>74558</v>
      </c>
      <c r="C409" s="57">
        <f t="shared" si="12"/>
        <v>-211</v>
      </c>
      <c r="D409" s="58">
        <f t="shared" si="13"/>
        <v>-2.822025170859581E-3</v>
      </c>
      <c r="E409" s="59"/>
      <c r="F409" s="59"/>
      <c r="G409" s="59"/>
    </row>
    <row r="410" spans="1:7">
      <c r="A410" s="54" t="str">
        <f>'WEST YORKSHIRE'!A65</f>
        <v>Spen BC</v>
      </c>
      <c r="B410" s="57">
        <f>'WEST YORKSHIRE'!D67</f>
        <v>71107</v>
      </c>
      <c r="C410" s="57">
        <f t="shared" si="12"/>
        <v>-3662</v>
      </c>
      <c r="D410" s="58">
        <f t="shared" si="13"/>
        <v>-4.8977517420321255E-2</v>
      </c>
      <c r="E410" s="59"/>
      <c r="F410" s="59"/>
      <c r="G410" s="59"/>
    </row>
    <row r="411" spans="1:7">
      <c r="A411" s="54" t="str">
        <f>HERTFORDSHIRE!A44</f>
        <v>St Albans CC</v>
      </c>
      <c r="B411" s="57">
        <f>HERTFORDSHIRE!D46</f>
        <v>77182</v>
      </c>
      <c r="C411" s="57">
        <f t="shared" si="12"/>
        <v>2413</v>
      </c>
      <c r="D411" s="58">
        <f t="shared" si="13"/>
        <v>3.2272733352057673E-2</v>
      </c>
      <c r="E411" s="59"/>
      <c r="F411" s="59"/>
      <c r="G411" s="59"/>
    </row>
    <row r="412" spans="1:7">
      <c r="A412" s="54" t="str">
        <f>MERSEYSIDE!A35</f>
        <v>St Helens North BC</v>
      </c>
      <c r="B412" s="57">
        <f>MERSEYSIDE!D35</f>
        <v>72060</v>
      </c>
      <c r="C412" s="57">
        <f t="shared" si="12"/>
        <v>-2709</v>
      </c>
      <c r="D412" s="58">
        <f t="shared" si="13"/>
        <v>-3.6231593307386754E-2</v>
      </c>
      <c r="E412" s="59"/>
      <c r="F412" s="59"/>
      <c r="G412" s="59"/>
    </row>
    <row r="413" spans="1:7">
      <c r="A413" s="54" t="str">
        <f>MERSEYSIDE!A37</f>
        <v>St Helens South and Whiston BC</v>
      </c>
      <c r="B413" s="57">
        <f>MERSEYSIDE!D39</f>
        <v>74885</v>
      </c>
      <c r="C413" s="57">
        <f t="shared" si="12"/>
        <v>116</v>
      </c>
      <c r="D413" s="58">
        <f t="shared" si="13"/>
        <v>1.5514451176289639E-3</v>
      </c>
      <c r="E413" s="59"/>
      <c r="F413" s="59"/>
      <c r="G413" s="59"/>
    </row>
    <row r="414" spans="1:7">
      <c r="A414" s="54" t="str">
        <f>CORNWALL!A17</f>
        <v>St Ives CC</v>
      </c>
      <c r="B414" s="57">
        <f>CORNWALL!D19</f>
        <v>73971</v>
      </c>
      <c r="C414" s="57">
        <f t="shared" si="12"/>
        <v>-798</v>
      </c>
      <c r="D414" s="58">
        <f t="shared" si="13"/>
        <v>-1.0672872447137183E-2</v>
      </c>
      <c r="E414" s="59"/>
      <c r="F414" s="59"/>
      <c r="G414" s="59"/>
    </row>
    <row r="415" spans="1:7">
      <c r="A415" s="54" t="str">
        <f>STAFFORDSHIRE!A29</f>
        <v>Stafford CC</v>
      </c>
      <c r="B415" s="57">
        <f>STAFFORDSHIRE!D31</f>
        <v>72896</v>
      </c>
      <c r="C415" s="57">
        <f t="shared" si="12"/>
        <v>-1873</v>
      </c>
      <c r="D415" s="58">
        <f t="shared" si="13"/>
        <v>-2.5050488838957323E-2</v>
      </c>
      <c r="E415" s="59"/>
      <c r="F415" s="59"/>
      <c r="G415" s="59"/>
    </row>
    <row r="416" spans="1:7">
      <c r="A416" s="146" t="str">
        <f>STAFFORDSHIRE!A33</f>
        <v>Staffordshire Moorlands CC</v>
      </c>
      <c r="B416" s="57">
        <f>STAFFORDSHIRE!D33</f>
        <v>78211</v>
      </c>
      <c r="C416" s="57">
        <f t="shared" si="12"/>
        <v>3442</v>
      </c>
      <c r="D416" s="58">
        <f t="shared" si="13"/>
        <v>4.6035121507576666E-2</v>
      </c>
      <c r="E416" s="59"/>
      <c r="F416" s="59"/>
      <c r="G416" s="59"/>
    </row>
    <row r="417" spans="1:7">
      <c r="A417" s="54" t="str">
        <f>HERTFORDSHIRE!A48</f>
        <v>Stevenage CC</v>
      </c>
      <c r="B417" s="57">
        <f>HERTFORDSHIRE!D51</f>
        <v>71525</v>
      </c>
      <c r="C417" s="57">
        <f t="shared" si="12"/>
        <v>-3244</v>
      </c>
      <c r="D417" s="58">
        <f t="shared" si="13"/>
        <v>-4.3386965186106539E-2</v>
      </c>
      <c r="E417" s="59"/>
      <c r="F417" s="59"/>
      <c r="G417" s="59"/>
    </row>
    <row r="418" spans="1:7">
      <c r="A418" s="54" t="str">
        <f>'GREATER MANCHESTER'!A76</f>
        <v>Stockport North and Denton BC</v>
      </c>
      <c r="B418" s="57">
        <f>'GREATER MANCHESTER'!D78</f>
        <v>75516</v>
      </c>
      <c r="C418" s="57">
        <f t="shared" si="12"/>
        <v>747</v>
      </c>
      <c r="D418" s="58">
        <f t="shared" si="13"/>
        <v>9.990771576455483E-3</v>
      </c>
      <c r="E418" s="59"/>
      <c r="F418" s="59"/>
      <c r="G418" s="59"/>
    </row>
    <row r="419" spans="1:7">
      <c r="A419" s="54" t="str">
        <f>'GREATER MANCHESTER'!A80</f>
        <v>Stockport South and Cheadle BC</v>
      </c>
      <c r="B419" s="57">
        <f>'GREATER MANCHESTER'!D80</f>
        <v>71841</v>
      </c>
      <c r="C419" s="57">
        <f t="shared" si="12"/>
        <v>-2928</v>
      </c>
      <c r="D419" s="58">
        <f t="shared" si="13"/>
        <v>-3.9160614693255227E-2</v>
      </c>
      <c r="E419" s="59"/>
      <c r="F419" s="59"/>
      <c r="G419" s="59"/>
    </row>
    <row r="420" spans="1:7">
      <c r="A420" s="54" t="str">
        <f>'"CLEVELAND"'!A29</f>
        <v>Stockton West CC</v>
      </c>
      <c r="B420" s="57">
        <f>'"CLEVELAND"'!D152</f>
        <v>74805</v>
      </c>
      <c r="C420" s="57">
        <f t="shared" si="12"/>
        <v>36</v>
      </c>
      <c r="D420" s="58">
        <f t="shared" si="13"/>
        <v>4.8148296754002329E-4</v>
      </c>
      <c r="E420" s="59"/>
      <c r="F420" s="59"/>
      <c r="G420" s="59"/>
    </row>
    <row r="421" spans="1:7">
      <c r="A421" s="54" t="str">
        <f>STAFFORDSHIRE!A35</f>
        <v>Stoke-on-Trent North BC</v>
      </c>
      <c r="B421" s="57">
        <f>STAFFORDSHIRE!D35</f>
        <v>77445</v>
      </c>
      <c r="C421" s="57">
        <f t="shared" si="12"/>
        <v>2676</v>
      </c>
      <c r="D421" s="58">
        <f t="shared" si="13"/>
        <v>3.5790233920475062E-2</v>
      </c>
      <c r="E421" s="59"/>
      <c r="F421" s="59"/>
      <c r="G421" s="59"/>
    </row>
    <row r="422" spans="1:7">
      <c r="A422" s="54" t="str">
        <f>STAFFORDSHIRE!A37</f>
        <v>Stoke-on-Trent South BC</v>
      </c>
      <c r="B422" s="57">
        <f>STAFFORDSHIRE!D37</f>
        <v>76296</v>
      </c>
      <c r="C422" s="57">
        <f t="shared" si="12"/>
        <v>1527</v>
      </c>
      <c r="D422" s="58">
        <f t="shared" si="13"/>
        <v>2.0422902539822655E-2</v>
      </c>
      <c r="E422" s="59"/>
      <c r="F422" s="59"/>
      <c r="G422" s="59"/>
    </row>
    <row r="423" spans="1:7">
      <c r="A423" s="54" t="str">
        <f>'WEST MIDLANDS'!A65</f>
        <v>Stourbridge BC</v>
      </c>
      <c r="B423" s="57">
        <f>'WEST MIDLANDS'!D65</f>
        <v>78320</v>
      </c>
      <c r="C423" s="57">
        <f t="shared" si="12"/>
        <v>3551</v>
      </c>
      <c r="D423" s="58">
        <f t="shared" si="13"/>
        <v>4.7492944937072852E-2</v>
      </c>
      <c r="E423" s="59"/>
      <c r="F423" s="59"/>
      <c r="G423" s="59"/>
    </row>
    <row r="424" spans="1:7">
      <c r="A424" s="54" t="str">
        <f>LAMBETH!A23</f>
        <v>Streatham and Mitcham BC</v>
      </c>
      <c r="B424" s="57">
        <f>LAMBETH!D26</f>
        <v>73925</v>
      </c>
      <c r="C424" s="57">
        <f t="shared" si="12"/>
        <v>-844</v>
      </c>
      <c r="D424" s="58">
        <f t="shared" si="13"/>
        <v>-1.1288100683438324E-2</v>
      </c>
      <c r="E424" s="59"/>
      <c r="F424" s="59"/>
      <c r="G424" s="59"/>
    </row>
    <row r="425" spans="1:7">
      <c r="A425" s="54" t="str">
        <f>'GREATER MANCHESTER'!A82</f>
        <v>Stretford and Urmston BC</v>
      </c>
      <c r="B425" s="57">
        <f>'GREATER MANCHESTER'!D82</f>
        <v>76104</v>
      </c>
      <c r="C425" s="57">
        <f t="shared" si="12"/>
        <v>1335</v>
      </c>
      <c r="D425" s="58">
        <f t="shared" si="13"/>
        <v>1.7854993379609198E-2</v>
      </c>
      <c r="E425" s="59"/>
      <c r="F425" s="59"/>
      <c r="G425" s="59"/>
    </row>
    <row r="426" spans="1:7">
      <c r="A426" s="54" t="str">
        <f>GLOUCESTERSHIRE!A20</f>
        <v>Stroud CC</v>
      </c>
      <c r="B426" s="57">
        <f>GLOUCESTERSHIRE!D22</f>
        <v>71843</v>
      </c>
      <c r="C426" s="57">
        <f t="shared" si="12"/>
        <v>-2926</v>
      </c>
      <c r="D426" s="58">
        <f t="shared" si="13"/>
        <v>-3.9133865639503003E-2</v>
      </c>
      <c r="E426" s="59"/>
      <c r="F426" s="59"/>
      <c r="G426" s="59"/>
    </row>
    <row r="427" spans="1:7">
      <c r="A427" s="54" t="str">
        <f>SUFFOLK!A31</f>
        <v>Suffolk Coastal CC</v>
      </c>
      <c r="B427" s="57">
        <f>SUFFOLK!D33</f>
        <v>76178</v>
      </c>
      <c r="C427" s="57">
        <f t="shared" si="12"/>
        <v>1409</v>
      </c>
      <c r="D427" s="58">
        <f t="shared" si="13"/>
        <v>1.8844708368441467E-2</v>
      </c>
      <c r="E427" s="59"/>
      <c r="F427" s="59"/>
      <c r="G427" s="59"/>
    </row>
    <row r="428" spans="1:7">
      <c r="A428" s="54" t="str">
        <f>'TYNE &amp; WEAR'!A46</f>
        <v>Sunderland Central BC</v>
      </c>
      <c r="B428" s="57">
        <f>'TYNE &amp; WEAR'!D46</f>
        <v>71232</v>
      </c>
      <c r="C428" s="57">
        <f t="shared" si="12"/>
        <v>-3537</v>
      </c>
      <c r="D428" s="58">
        <f t="shared" si="13"/>
        <v>-4.7305701560807288E-2</v>
      </c>
      <c r="E428" s="59"/>
      <c r="F428" s="59"/>
      <c r="G428" s="59"/>
    </row>
    <row r="429" spans="1:7">
      <c r="A429" s="54" t="str">
        <f>'TYNE &amp; WEAR'!A50</f>
        <v>Sunderland West BC</v>
      </c>
      <c r="B429" s="57">
        <f>'TYNE &amp; WEAR'!D52</f>
        <v>72720</v>
      </c>
      <c r="C429" s="57">
        <f t="shared" si="12"/>
        <v>-2049</v>
      </c>
      <c r="D429" s="58">
        <f t="shared" si="13"/>
        <v>-2.7404405569152992E-2</v>
      </c>
      <c r="E429" s="59"/>
      <c r="F429" s="59"/>
      <c r="G429" s="59"/>
    </row>
    <row r="430" spans="1:7">
      <c r="A430" s="54" t="str">
        <f>SURREY!A50</f>
        <v>Surrey Heath CC</v>
      </c>
      <c r="B430" s="57">
        <f>SURREY!D52</f>
        <v>74975</v>
      </c>
      <c r="C430" s="57">
        <f t="shared" si="12"/>
        <v>206</v>
      </c>
      <c r="D430" s="58">
        <f t="shared" si="13"/>
        <v>2.7551525364790221E-3</v>
      </c>
      <c r="E430" s="59"/>
      <c r="F430" s="59"/>
      <c r="G430" s="59"/>
    </row>
    <row r="431" spans="1:7">
      <c r="A431" s="54" t="str">
        <f>SUTTON!A7</f>
        <v>Sutton and Cheam BC</v>
      </c>
      <c r="B431" s="57">
        <f>SUTTON!D9</f>
        <v>73858</v>
      </c>
      <c r="C431" s="57">
        <f t="shared" si="12"/>
        <v>-911</v>
      </c>
      <c r="D431" s="58">
        <f t="shared" si="13"/>
        <v>-1.2184193984137811E-2</v>
      </c>
      <c r="E431" s="59"/>
      <c r="F431" s="59"/>
      <c r="G431" s="59"/>
    </row>
    <row r="432" spans="1:7">
      <c r="A432" s="54" t="str">
        <f>'WEST MIDLANDS'!A67</f>
        <v>Sutton Coldfield BC</v>
      </c>
      <c r="B432" s="57">
        <f>'WEST MIDLANDS'!D67</f>
        <v>73172</v>
      </c>
      <c r="C432" s="57">
        <f t="shared" si="12"/>
        <v>-1597</v>
      </c>
      <c r="D432" s="58">
        <f t="shared" si="13"/>
        <v>-2.1359119421150478E-2</v>
      </c>
      <c r="E432" s="59"/>
      <c r="F432" s="59"/>
      <c r="G432" s="59"/>
    </row>
    <row r="433" spans="1:7">
      <c r="A433" s="54" t="str">
        <f>STAFFORDSHIRE!A39</f>
        <v>Tamworth CC</v>
      </c>
      <c r="B433" s="57">
        <f>STAFFORDSHIRE!D41</f>
        <v>73305</v>
      </c>
      <c r="C433" s="57">
        <f t="shared" si="12"/>
        <v>-1464</v>
      </c>
      <c r="D433" s="58">
        <f t="shared" si="13"/>
        <v>-1.9580307346627614E-2</v>
      </c>
      <c r="E433" s="59"/>
      <c r="F433" s="59"/>
      <c r="G433" s="59"/>
    </row>
    <row r="434" spans="1:7">
      <c r="A434" s="54" t="str">
        <f>SOMERSET!A23</f>
        <v>Taunton Deane CC</v>
      </c>
      <c r="B434" s="57">
        <f>SOMERSET!D23</f>
        <v>78187</v>
      </c>
      <c r="C434" s="57">
        <f t="shared" si="12"/>
        <v>3418</v>
      </c>
      <c r="D434" s="58">
        <f t="shared" si="13"/>
        <v>4.5714132862549987E-2</v>
      </c>
      <c r="E434" s="59"/>
      <c r="F434" s="59"/>
      <c r="G434" s="59"/>
    </row>
    <row r="435" spans="1:7">
      <c r="A435" s="54" t="str">
        <f>DEVON!A41</f>
        <v>Tavistock and Ivybridge CC</v>
      </c>
      <c r="B435" s="57">
        <f>DEVON!D44</f>
        <v>72375</v>
      </c>
      <c r="C435" s="57">
        <f t="shared" si="12"/>
        <v>-2394</v>
      </c>
      <c r="D435" s="58">
        <f t="shared" si="13"/>
        <v>-3.2018617341411551E-2</v>
      </c>
      <c r="E435" s="59"/>
      <c r="F435" s="59"/>
      <c r="G435" s="59"/>
    </row>
    <row r="436" spans="1:7">
      <c r="A436" s="54" t="str">
        <f>'SHROPSHIRE &amp; TELFORD &amp; WREKIN '!A15</f>
        <v>Telford BC</v>
      </c>
      <c r="B436" s="57">
        <f>'SHROPSHIRE &amp; TELFORD &amp; WREKIN '!D15</f>
        <v>76556</v>
      </c>
      <c r="C436" s="57">
        <f t="shared" si="12"/>
        <v>1787</v>
      </c>
      <c r="D436" s="58">
        <f t="shared" si="13"/>
        <v>2.3900279527611711E-2</v>
      </c>
      <c r="E436" s="59"/>
      <c r="F436" s="59"/>
      <c r="G436" s="59"/>
    </row>
    <row r="437" spans="1:7">
      <c r="A437" s="54" t="str">
        <f>HAMPSHIRE!A65</f>
        <v>Test Valley CC</v>
      </c>
      <c r="B437" s="57">
        <f>HAMPSHIRE!D68</f>
        <v>74805</v>
      </c>
      <c r="C437" s="57">
        <f t="shared" si="12"/>
        <v>36</v>
      </c>
      <c r="D437" s="58">
        <f t="shared" si="13"/>
        <v>4.8148296754002329E-4</v>
      </c>
      <c r="E437" s="59"/>
      <c r="F437" s="59"/>
      <c r="G437" s="59"/>
    </row>
    <row r="438" spans="1:7">
      <c r="A438" s="54" t="str">
        <f>GLOUCESTERSHIRE!A24</f>
        <v>Tewkesbury CC</v>
      </c>
      <c r="B438" s="57">
        <f>GLOUCESTERSHIRE!D26</f>
        <v>71957</v>
      </c>
      <c r="C438" s="57">
        <f t="shared" si="12"/>
        <v>-2812</v>
      </c>
      <c r="D438" s="58">
        <f t="shared" si="13"/>
        <v>-3.760916957562626E-2</v>
      </c>
      <c r="E438" s="59"/>
      <c r="F438" s="59"/>
      <c r="G438" s="59"/>
    </row>
    <row r="439" spans="1:7">
      <c r="A439" s="54" t="str">
        <f>KENT!A65</f>
        <v>Thanet East BC</v>
      </c>
      <c r="B439" s="57">
        <f>KENT!D65</f>
        <v>78130</v>
      </c>
      <c r="C439" s="57">
        <f t="shared" si="12"/>
        <v>3361</v>
      </c>
      <c r="D439" s="58">
        <f t="shared" si="13"/>
        <v>4.4951784830611616E-2</v>
      </c>
      <c r="E439" s="59"/>
      <c r="F439" s="59"/>
      <c r="G439" s="59"/>
    </row>
    <row r="440" spans="1:7">
      <c r="A440" s="54" t="str">
        <f>GLOUCESTERSHIRE!A28</f>
        <v>The Cotswolds CC</v>
      </c>
      <c r="B440" s="57">
        <f>GLOUCESTERSHIRE!D30</f>
        <v>74694</v>
      </c>
      <c r="C440" s="57">
        <f t="shared" si="12"/>
        <v>-75</v>
      </c>
      <c r="D440" s="58">
        <f t="shared" si="13"/>
        <v>-1.0030895157083818E-3</v>
      </c>
      <c r="E440" s="59"/>
      <c r="F440" s="59"/>
      <c r="G440" s="59"/>
    </row>
    <row r="441" spans="1:7">
      <c r="A441" s="54" t="str">
        <f>'NORTH YORKSHIRE'!A39</f>
        <v>Thirsk and Malton CC</v>
      </c>
      <c r="B441" s="57">
        <f>'NORTH YORKSHIRE'!D42</f>
        <v>73125</v>
      </c>
      <c r="C441" s="57">
        <f t="shared" si="12"/>
        <v>-1644</v>
      </c>
      <c r="D441" s="58">
        <f t="shared" si="13"/>
        <v>-2.1987722184327728E-2</v>
      </c>
      <c r="E441" s="59"/>
      <c r="F441" s="59"/>
      <c r="G441" s="59"/>
    </row>
    <row r="442" spans="1:7">
      <c r="A442" s="54" t="str">
        <f>ESSEX!A74</f>
        <v>Thurrock BC</v>
      </c>
      <c r="B442" s="57">
        <f>ESSEX!D74</f>
        <v>75935</v>
      </c>
      <c r="C442" s="57">
        <f t="shared" si="12"/>
        <v>1166</v>
      </c>
      <c r="D442" s="58">
        <f t="shared" si="13"/>
        <v>1.5594698337546309E-2</v>
      </c>
      <c r="E442" s="59"/>
      <c r="F442" s="59"/>
      <c r="G442" s="59"/>
    </row>
    <row r="443" spans="1:7">
      <c r="A443" s="54" t="str">
        <f>DEVON!A46</f>
        <v>Tiverton and Honiton CC</v>
      </c>
      <c r="B443" s="57">
        <f>DEVON!D48</f>
        <v>75818</v>
      </c>
      <c r="C443" s="57">
        <f t="shared" si="12"/>
        <v>1049</v>
      </c>
      <c r="D443" s="58">
        <f t="shared" si="13"/>
        <v>1.4029878693041233E-2</v>
      </c>
      <c r="E443" s="59"/>
      <c r="F443" s="59"/>
      <c r="G443" s="59"/>
    </row>
    <row r="444" spans="1:7">
      <c r="A444" s="54" t="str">
        <f>KENT!A67</f>
        <v>Tonbridge and The Weald CC</v>
      </c>
      <c r="B444" s="57">
        <f>KENT!D69</f>
        <v>71575</v>
      </c>
      <c r="C444" s="57">
        <f t="shared" si="12"/>
        <v>-3194</v>
      </c>
      <c r="D444" s="58">
        <f t="shared" si="13"/>
        <v>-4.2718238842300957E-2</v>
      </c>
      <c r="E444" s="59"/>
      <c r="F444" s="59"/>
      <c r="G444" s="59"/>
    </row>
    <row r="445" spans="1:7">
      <c r="A445" s="54" t="str">
        <f>WANDSWORTH!A9</f>
        <v>Tooting BC</v>
      </c>
      <c r="B445" s="57">
        <f>WANDSWORTH!D11</f>
        <v>77288</v>
      </c>
      <c r="C445" s="57">
        <f t="shared" si="12"/>
        <v>2519</v>
      </c>
      <c r="D445" s="58">
        <f t="shared" si="13"/>
        <v>3.3690433200925518E-2</v>
      </c>
      <c r="E445" s="59"/>
      <c r="F445" s="59"/>
      <c r="G445" s="59"/>
    </row>
    <row r="446" spans="1:7">
      <c r="A446" s="54" t="str">
        <f>DEVON!A50</f>
        <v>Torbay BC</v>
      </c>
      <c r="B446" s="57">
        <f>DEVON!D50</f>
        <v>71459</v>
      </c>
      <c r="C446" s="57">
        <f t="shared" si="12"/>
        <v>-3310</v>
      </c>
      <c r="D446" s="58">
        <f t="shared" si="13"/>
        <v>-4.4269683959929917E-2</v>
      </c>
      <c r="E446" s="59"/>
      <c r="F446" s="59"/>
      <c r="G446" s="59"/>
    </row>
    <row r="447" spans="1:7">
      <c r="A447" s="54" t="str">
        <f>DEVON!A52</f>
        <v>Totnes CC</v>
      </c>
      <c r="B447" s="57">
        <f>DEVON!D55</f>
        <v>72989</v>
      </c>
      <c r="C447" s="57">
        <f t="shared" si="12"/>
        <v>-1780</v>
      </c>
      <c r="D447" s="58">
        <f t="shared" si="13"/>
        <v>-2.3806657839478929E-2</v>
      </c>
      <c r="E447" s="59"/>
      <c r="F447" s="59"/>
      <c r="G447" s="59"/>
    </row>
    <row r="448" spans="1:7">
      <c r="A448" s="54" t="str">
        <f>HARINGEY!A9</f>
        <v>Tottenham BC</v>
      </c>
      <c r="B448" s="57">
        <f>HARINGEY!D9</f>
        <v>74648</v>
      </c>
      <c r="C448" s="57">
        <f t="shared" si="12"/>
        <v>-121</v>
      </c>
      <c r="D448" s="58">
        <f t="shared" si="13"/>
        <v>-1.6183177520095228E-3</v>
      </c>
      <c r="E448" s="59"/>
      <c r="F448" s="59"/>
      <c r="G448" s="59"/>
    </row>
    <row r="449" spans="1:7">
      <c r="A449" s="54" t="str">
        <f>CORNWALL!A21</f>
        <v>Truro and Newquay CC</v>
      </c>
      <c r="B449" s="57">
        <f>CORNWALL!D21</f>
        <v>73799</v>
      </c>
      <c r="C449" s="57">
        <f t="shared" si="12"/>
        <v>-970</v>
      </c>
      <c r="D449" s="58">
        <f t="shared" si="13"/>
        <v>-1.2973291069828405E-2</v>
      </c>
      <c r="E449" s="59"/>
      <c r="F449" s="59"/>
      <c r="G449" s="59"/>
    </row>
    <row r="450" spans="1:7">
      <c r="A450" s="54" t="str">
        <f>KENT!A71</f>
        <v>Tunbridge Wells CC</v>
      </c>
      <c r="B450" s="57">
        <f>KENT!D73</f>
        <v>73871</v>
      </c>
      <c r="C450" s="57">
        <f t="shared" si="12"/>
        <v>-898</v>
      </c>
      <c r="D450" s="58">
        <f t="shared" si="13"/>
        <v>-1.2010325134748359E-2</v>
      </c>
      <c r="E450" s="59"/>
      <c r="F450" s="59"/>
      <c r="G450" s="59"/>
    </row>
    <row r="451" spans="1:7">
      <c r="A451" s="54" t="str">
        <f>RICHMOND!A9</f>
        <v>Twickenham BC</v>
      </c>
      <c r="B451" s="57">
        <f>RICHMOND!D9</f>
        <v>78247</v>
      </c>
      <c r="C451" s="57">
        <f t="shared" ref="C451:C503" si="14">B451-$B$511</f>
        <v>3478</v>
      </c>
      <c r="D451" s="58">
        <f t="shared" ref="D451:D503" si="15">(B451-$B$511)/$B$511</f>
        <v>4.6516604475116692E-2</v>
      </c>
      <c r="E451" s="59"/>
      <c r="F451" s="59"/>
      <c r="G451" s="59"/>
    </row>
    <row r="452" spans="1:7">
      <c r="A452" s="54" t="str">
        <f>'TYNE &amp; WEAR'!A48</f>
        <v>Tynemouth BC</v>
      </c>
      <c r="B452" s="57">
        <f>'TYNE &amp; WEAR'!D48</f>
        <v>74618</v>
      </c>
      <c r="C452" s="57">
        <f t="shared" si="14"/>
        <v>-151</v>
      </c>
      <c r="D452" s="58">
        <f t="shared" si="15"/>
        <v>-2.0195535582928754E-3</v>
      </c>
      <c r="E452" s="59"/>
      <c r="F452" s="59"/>
      <c r="G452" s="59"/>
    </row>
    <row r="453" spans="1:7">
      <c r="A453" s="54" t="str">
        <f>'WEST YORKSHIRE'!A69</f>
        <v>Wakefield CC</v>
      </c>
      <c r="B453" s="57">
        <f>'WEST YORKSHIRE'!D69</f>
        <v>76312</v>
      </c>
      <c r="C453" s="57">
        <f t="shared" si="14"/>
        <v>1543</v>
      </c>
      <c r="D453" s="58">
        <f t="shared" si="15"/>
        <v>2.0636894969840443E-2</v>
      </c>
      <c r="E453" s="59"/>
      <c r="F453" s="59"/>
      <c r="G453" s="59"/>
    </row>
    <row r="454" spans="1:7">
      <c r="A454" s="54" t="str">
        <f>MERSEYSIDE!A47</f>
        <v>Wallasey BC</v>
      </c>
      <c r="B454" s="57">
        <f>MERSEYSIDE!D47</f>
        <v>76052</v>
      </c>
      <c r="C454" s="57">
        <f t="shared" si="14"/>
        <v>1283</v>
      </c>
      <c r="D454" s="58">
        <f t="shared" si="15"/>
        <v>1.7159517982051384E-2</v>
      </c>
      <c r="E454" s="59"/>
      <c r="F454" s="59"/>
      <c r="G454" s="59"/>
    </row>
    <row r="455" spans="1:7">
      <c r="A455" s="54" t="str">
        <f>'WEST MIDLANDS'!A69</f>
        <v>Walsall Central BC</v>
      </c>
      <c r="B455" s="57">
        <f>'WEST MIDLANDS'!D69</f>
        <v>73172</v>
      </c>
      <c r="C455" s="57">
        <f t="shared" si="14"/>
        <v>-1597</v>
      </c>
      <c r="D455" s="58">
        <f t="shared" si="15"/>
        <v>-2.1359119421150478E-2</v>
      </c>
      <c r="E455" s="59"/>
      <c r="F455" s="59"/>
      <c r="G455" s="59"/>
    </row>
    <row r="456" spans="1:7">
      <c r="A456" s="54" t="str">
        <f>'WALTHAM FOREST'!A13</f>
        <v xml:space="preserve">Walthamstow BC </v>
      </c>
      <c r="B456" s="57">
        <f>'WALTHAM FOREST'!D13</f>
        <v>76575</v>
      </c>
      <c r="C456" s="57">
        <f t="shared" si="14"/>
        <v>1806</v>
      </c>
      <c r="D456" s="58">
        <f t="shared" si="15"/>
        <v>2.4154395538257833E-2</v>
      </c>
      <c r="E456" s="59"/>
      <c r="F456" s="59"/>
      <c r="G456" s="59"/>
    </row>
    <row r="457" spans="1:7">
      <c r="A457" s="54" t="str">
        <f>OXFORDSHIRE!A25</f>
        <v>Wantage CC</v>
      </c>
      <c r="B457" s="57">
        <f>OXFORDSHIRE!D27</f>
        <v>75312</v>
      </c>
      <c r="C457" s="57">
        <f t="shared" si="14"/>
        <v>543</v>
      </c>
      <c r="D457" s="58">
        <f t="shared" si="15"/>
        <v>7.2623680937286845E-3</v>
      </c>
      <c r="E457" s="59"/>
      <c r="F457" s="59"/>
      <c r="G457" s="59"/>
    </row>
    <row r="458" spans="1:7">
      <c r="A458" s="54" t="str">
        <f>'WEST MIDLANDS'!A71</f>
        <v>Warley BC</v>
      </c>
      <c r="B458" s="57">
        <f>'WEST MIDLANDS'!D71</f>
        <v>72780</v>
      </c>
      <c r="C458" s="57">
        <f t="shared" si="14"/>
        <v>-1989</v>
      </c>
      <c r="D458" s="58">
        <f t="shared" si="15"/>
        <v>-2.6601933956586287E-2</v>
      </c>
      <c r="E458" s="59"/>
      <c r="F458" s="59"/>
      <c r="G458" s="59"/>
    </row>
    <row r="459" spans="1:7">
      <c r="A459" s="54" t="str">
        <f>WILTSHIRE!A19</f>
        <v>Warminster and Shaftesbury CC</v>
      </c>
      <c r="B459" s="57">
        <f>WILTSHIRE!D21</f>
        <v>76920</v>
      </c>
      <c r="C459" s="57">
        <f t="shared" si="14"/>
        <v>2151</v>
      </c>
      <c r="D459" s="58">
        <f t="shared" si="15"/>
        <v>2.8768607310516392E-2</v>
      </c>
      <c r="E459" s="59"/>
      <c r="F459" s="59"/>
      <c r="G459" s="59"/>
    </row>
    <row r="460" spans="1:7">
      <c r="A460" s="54" t="str">
        <f>CHESHIRE!A231</f>
        <v>Warrington North BC</v>
      </c>
      <c r="B460" s="57">
        <f>CHESHIRE!D35</f>
        <v>76183</v>
      </c>
      <c r="C460" s="57">
        <f t="shared" si="14"/>
        <v>1414</v>
      </c>
      <c r="D460" s="58">
        <f t="shared" si="15"/>
        <v>1.8911581002822024E-2</v>
      </c>
      <c r="E460" s="59"/>
      <c r="F460" s="59"/>
      <c r="G460" s="59"/>
    </row>
    <row r="461" spans="1:7">
      <c r="A461" s="54" t="str">
        <f>CHESHIRE!A232</f>
        <v>Warrington South BC</v>
      </c>
      <c r="B461" s="57">
        <f>CHESHIRE!D37</f>
        <v>76806</v>
      </c>
      <c r="C461" s="57">
        <f t="shared" si="14"/>
        <v>2037</v>
      </c>
      <c r="D461" s="58">
        <f t="shared" si="15"/>
        <v>2.7243911246639649E-2</v>
      </c>
      <c r="E461" s="59"/>
      <c r="F461" s="59"/>
      <c r="G461" s="59"/>
    </row>
    <row r="462" spans="1:7">
      <c r="A462" s="54" t="str">
        <f>WARWICKSHIRE!A33</f>
        <v>Warwick and Stratford-on-Avon CC</v>
      </c>
      <c r="B462" s="57">
        <f>WARWICKSHIRE!D35</f>
        <v>77284</v>
      </c>
      <c r="C462" s="57">
        <f t="shared" si="14"/>
        <v>2515</v>
      </c>
      <c r="D462" s="58">
        <f t="shared" si="15"/>
        <v>3.3636935093421069E-2</v>
      </c>
      <c r="E462" s="59"/>
      <c r="F462" s="59"/>
      <c r="G462" s="59"/>
    </row>
    <row r="463" spans="1:7">
      <c r="A463" s="54" t="str">
        <f>HERTFORDSHIRE!A53</f>
        <v>Watford BC</v>
      </c>
      <c r="B463" s="57">
        <f>HERTFORDSHIRE!D55</f>
        <v>72878</v>
      </c>
      <c r="C463" s="57">
        <f t="shared" si="14"/>
        <v>-1891</v>
      </c>
      <c r="D463" s="58">
        <f t="shared" si="15"/>
        <v>-2.5291230322727332E-2</v>
      </c>
      <c r="E463" s="59"/>
      <c r="F463" s="59"/>
      <c r="G463" s="59"/>
    </row>
    <row r="464" spans="1:7">
      <c r="A464" s="54" t="str">
        <f>SUFFOLK!A35</f>
        <v>Waveney CC</v>
      </c>
      <c r="B464" s="57">
        <f>SUFFOLK!D35</f>
        <v>77408</v>
      </c>
      <c r="C464" s="57">
        <f t="shared" si="14"/>
        <v>2639</v>
      </c>
      <c r="D464" s="58">
        <f t="shared" si="15"/>
        <v>3.5295376426058928E-2</v>
      </c>
      <c r="E464" s="59"/>
      <c r="F464" s="59"/>
      <c r="G464" s="59"/>
    </row>
    <row r="465" spans="1:7">
      <c r="A465" s="54" t="str">
        <f>CHESHIRE!A39</f>
        <v>Weaver Vale CC</v>
      </c>
      <c r="B465" s="57">
        <f>CHESHIRE!D41</f>
        <v>73327</v>
      </c>
      <c r="C465" s="57">
        <f t="shared" si="14"/>
        <v>-1442</v>
      </c>
      <c r="D465" s="58">
        <f t="shared" si="15"/>
        <v>-1.9286067755353156E-2</v>
      </c>
      <c r="E465" s="59"/>
      <c r="F465" s="59"/>
      <c r="G465" s="59"/>
    </row>
    <row r="466" spans="1:7">
      <c r="A466" s="54" t="str">
        <f>'WEST MIDLANDS'!A73</f>
        <v>Wednesfield and Willenhall BC</v>
      </c>
      <c r="B466" s="57">
        <f>'WEST MIDLANDS'!D75</f>
        <v>77139</v>
      </c>
      <c r="C466" s="57">
        <f t="shared" si="14"/>
        <v>2370</v>
      </c>
      <c r="D466" s="58">
        <f t="shared" si="15"/>
        <v>3.1697628696384865E-2</v>
      </c>
      <c r="E466" s="59"/>
      <c r="F466" s="59"/>
      <c r="G466" s="59"/>
    </row>
    <row r="467" spans="1:7">
      <c r="A467" s="54" t="str">
        <f>NORTHAMPTONSHIRE!A37</f>
        <v>Wellingborough CC</v>
      </c>
      <c r="B467" s="57">
        <f>NORTHAMPTONSHIRE!D39</f>
        <v>71501</v>
      </c>
      <c r="C467" s="57">
        <f t="shared" si="14"/>
        <v>-3268</v>
      </c>
      <c r="D467" s="58">
        <f t="shared" si="15"/>
        <v>-4.3707953831133226E-2</v>
      </c>
      <c r="E467" s="59"/>
      <c r="F467" s="59"/>
      <c r="G467" s="59"/>
    </row>
    <row r="468" spans="1:7">
      <c r="A468" s="54" t="str">
        <f>SOMERSET!A25</f>
        <v>Wells CC</v>
      </c>
      <c r="B468" s="57">
        <f>SOMERSET!D27</f>
        <v>71669</v>
      </c>
      <c r="C468" s="57">
        <f t="shared" si="14"/>
        <v>-3100</v>
      </c>
      <c r="D468" s="58">
        <f t="shared" si="15"/>
        <v>-4.1461033315946451E-2</v>
      </c>
      <c r="E468" s="59"/>
      <c r="F468" s="59"/>
      <c r="G468" s="59"/>
    </row>
    <row r="469" spans="1:7">
      <c r="A469" s="54" t="str">
        <f>HERTFORDSHIRE!A57</f>
        <v>Welwyn Hatfield CC</v>
      </c>
      <c r="B469" s="57">
        <f>HERTFORDSHIRE!D59</f>
        <v>72763</v>
      </c>
      <c r="C469" s="57">
        <f t="shared" si="14"/>
        <v>-2006</v>
      </c>
      <c r="D469" s="58">
        <f t="shared" si="15"/>
        <v>-2.6829300913480184E-2</v>
      </c>
      <c r="E469" s="59"/>
      <c r="F469" s="59"/>
      <c r="G469" s="59"/>
    </row>
    <row r="470" spans="1:7">
      <c r="A470" s="54" t="str">
        <f>BRENT!A13</f>
        <v>Wembley and Harrow on the Hill BC</v>
      </c>
      <c r="B470" s="57">
        <f>BRENT!D15</f>
        <v>77515</v>
      </c>
      <c r="C470" s="57">
        <f t="shared" si="14"/>
        <v>2746</v>
      </c>
      <c r="D470" s="58">
        <f t="shared" si="15"/>
        <v>3.6726450801802889E-2</v>
      </c>
      <c r="E470" s="59"/>
      <c r="F470" s="59"/>
      <c r="G470" s="59"/>
    </row>
    <row r="471" spans="1:7">
      <c r="A471" s="54" t="str">
        <f>'SOUTH YORKSHIRE'!A50</f>
        <v>Wentworth and Dearne CC</v>
      </c>
      <c r="B471" s="57">
        <f>'SOUTH YORKSHIRE'!D52</f>
        <v>73146</v>
      </c>
      <c r="C471" s="57">
        <f t="shared" si="14"/>
        <v>-1623</v>
      </c>
      <c r="D471" s="58">
        <f t="shared" si="15"/>
        <v>-2.1706857119929382E-2</v>
      </c>
      <c r="E471" s="59"/>
      <c r="F471" s="59"/>
      <c r="G471" s="59"/>
    </row>
    <row r="472" spans="1:7">
      <c r="A472" s="54" t="str">
        <f>NOTTINGHAMSHIRE!A51</f>
        <v>West Bridgford CC</v>
      </c>
      <c r="B472" s="57">
        <f>NOTTINGHAMSHIRE!D53</f>
        <v>75094</v>
      </c>
      <c r="C472" s="57">
        <f t="shared" si="14"/>
        <v>325</v>
      </c>
      <c r="D472" s="58">
        <f t="shared" si="15"/>
        <v>4.3467212347363211E-3</v>
      </c>
      <c r="E472" s="59"/>
      <c r="F472" s="59"/>
      <c r="G472" s="59"/>
    </row>
    <row r="473" spans="1:7">
      <c r="A473" s="54" t="str">
        <f>'WEST MIDLANDS'!A77</f>
        <v>West Bromwich BC</v>
      </c>
      <c r="B473" s="57">
        <f>'WEST MIDLANDS'!D77</f>
        <v>72691</v>
      </c>
      <c r="C473" s="57">
        <f t="shared" si="14"/>
        <v>-2078</v>
      </c>
      <c r="D473" s="58">
        <f t="shared" si="15"/>
        <v>-2.7792266848560232E-2</v>
      </c>
      <c r="E473" s="59"/>
      <c r="F473" s="59"/>
      <c r="G473" s="59"/>
    </row>
    <row r="474" spans="1:7">
      <c r="A474" s="54" t="str">
        <f>DORSET!A42</f>
        <v>West Dorset CC</v>
      </c>
      <c r="B474" s="57">
        <f>DORSET!D42</f>
        <v>73511</v>
      </c>
      <c r="C474" s="57">
        <f t="shared" si="14"/>
        <v>-1258</v>
      </c>
      <c r="D474" s="58">
        <f t="shared" si="15"/>
        <v>-1.6825154810148592E-2</v>
      </c>
      <c r="E474" s="59"/>
      <c r="F474" s="59"/>
      <c r="G474" s="59"/>
    </row>
    <row r="475" spans="1:7">
      <c r="A475" s="54" t="str">
        <f>DURHAM!A27</f>
        <v>West Durham and Teesdale CC</v>
      </c>
      <c r="B475" s="57">
        <f>DURHAM!D29</f>
        <v>74502</v>
      </c>
      <c r="C475" s="57">
        <f t="shared" si="14"/>
        <v>-267</v>
      </c>
      <c r="D475" s="58">
        <f t="shared" si="15"/>
        <v>-3.5709986759218395E-3</v>
      </c>
      <c r="E475" s="59"/>
      <c r="F475" s="59"/>
      <c r="G475" s="59"/>
    </row>
    <row r="476" spans="1:7">
      <c r="A476" s="54" t="str">
        <f>GLOUCESTERSHIRE!A32</f>
        <v>West Gloucestershire CC</v>
      </c>
      <c r="B476" s="57">
        <f>GLOUCESTERSHIRE!D34</f>
        <v>72354</v>
      </c>
      <c r="C476" s="57">
        <f t="shared" si="14"/>
        <v>-2415</v>
      </c>
      <c r="D476" s="58">
        <f t="shared" si="15"/>
        <v>-3.2299482405809897E-2</v>
      </c>
      <c r="E476" s="59"/>
      <c r="F476" s="59"/>
      <c r="G476" s="59"/>
    </row>
    <row r="477" spans="1:7">
      <c r="A477" s="54" t="str">
        <f>LANCASHIRE!A73</f>
        <v>West Lancashire CC</v>
      </c>
      <c r="B477" s="57">
        <f>LANCASHIRE!D75</f>
        <v>76861</v>
      </c>
      <c r="C477" s="57">
        <f t="shared" si="14"/>
        <v>2092</v>
      </c>
      <c r="D477" s="58">
        <f t="shared" si="15"/>
        <v>2.7979510224825796E-2</v>
      </c>
      <c r="E477" s="59"/>
      <c r="F477" s="59"/>
      <c r="G477" s="59"/>
    </row>
    <row r="478" spans="1:7">
      <c r="A478" s="54" t="str">
        <f>STAFFORDSHIRE!A43</f>
        <v>West Staffordshire CC</v>
      </c>
      <c r="B478" s="57">
        <f>STAFFORDSHIRE!D46</f>
        <v>71078</v>
      </c>
      <c r="C478" s="57">
        <f t="shared" si="14"/>
        <v>-3691</v>
      </c>
      <c r="D478" s="58">
        <f t="shared" si="15"/>
        <v>-4.9365378699728499E-2</v>
      </c>
      <c r="E478" s="59"/>
      <c r="F478" s="59"/>
      <c r="G478" s="59"/>
    </row>
    <row r="479" spans="1:7">
      <c r="A479" s="54" t="str">
        <f>SUFFOLK!A37</f>
        <v>West Suffolk CC</v>
      </c>
      <c r="B479" s="57">
        <f>SUFFOLK!D39</f>
        <v>72809</v>
      </c>
      <c r="C479" s="57">
        <f t="shared" si="14"/>
        <v>-1960</v>
      </c>
      <c r="D479" s="58">
        <f t="shared" si="15"/>
        <v>-2.6214072677179043E-2</v>
      </c>
      <c r="E479" s="59"/>
      <c r="F479" s="59"/>
      <c r="G479" s="59"/>
    </row>
    <row r="480" spans="1:7">
      <c r="A480" s="54" t="str">
        <f>CUMBRIA!A23</f>
        <v>Westmorland and Lonsdale CC</v>
      </c>
      <c r="B480" s="57">
        <f>CUMBRIA!D25</f>
        <v>72371</v>
      </c>
      <c r="C480" s="57">
        <f t="shared" si="14"/>
        <v>-2398</v>
      </c>
      <c r="D480" s="58">
        <f t="shared" si="15"/>
        <v>-3.2072115448915993E-2</v>
      </c>
      <c r="E480" s="59"/>
      <c r="F480" s="59"/>
      <c r="G480" s="59"/>
    </row>
    <row r="481" spans="1:7">
      <c r="A481" s="54" t="str">
        <f>'"AVON"'!A178</f>
        <v>Weston-super-Mare CC</v>
      </c>
      <c r="B481" s="57">
        <f>'"AVON"'!D33</f>
        <v>75333</v>
      </c>
      <c r="C481" s="57">
        <f t="shared" si="14"/>
        <v>564</v>
      </c>
      <c r="D481" s="58">
        <f t="shared" si="15"/>
        <v>7.5432331581270313E-3</v>
      </c>
      <c r="E481" s="59"/>
      <c r="F481" s="59"/>
      <c r="G481" s="59"/>
    </row>
    <row r="482" spans="1:7">
      <c r="A482" s="54" t="str">
        <f>'GREATER MANCHESTER'!A84</f>
        <v>Wigan CC</v>
      </c>
      <c r="B482" s="57">
        <f>'GREATER MANCHESTER'!D84</f>
        <v>72733</v>
      </c>
      <c r="C482" s="57">
        <f t="shared" si="14"/>
        <v>-2036</v>
      </c>
      <c r="D482" s="58">
        <f t="shared" si="15"/>
        <v>-2.723053671976354E-2</v>
      </c>
      <c r="E482" s="59"/>
      <c r="F482" s="59"/>
      <c r="G482" s="59"/>
    </row>
    <row r="483" spans="1:7">
      <c r="A483" s="54" t="str">
        <f>BRENT!A17</f>
        <v>Willesden BC</v>
      </c>
      <c r="B483" s="57">
        <f>BRENT!D19</f>
        <v>77841</v>
      </c>
      <c r="C483" s="57">
        <f t="shared" si="14"/>
        <v>3072</v>
      </c>
      <c r="D483" s="58">
        <f t="shared" si="15"/>
        <v>4.1086546563415316E-2</v>
      </c>
      <c r="E483" s="59"/>
      <c r="F483" s="59"/>
      <c r="G483" s="59"/>
    </row>
    <row r="484" spans="1:7">
      <c r="A484" s="54" t="str">
        <f>WANDSWORTH!A13</f>
        <v>Wimbledon Common and Putney BC</v>
      </c>
      <c r="B484" s="57">
        <f>WANDSWORTH!D15</f>
        <v>72489</v>
      </c>
      <c r="C484" s="57">
        <f t="shared" si="14"/>
        <v>-2280</v>
      </c>
      <c r="D484" s="58">
        <f t="shared" si="15"/>
        <v>-3.0493921277534808E-2</v>
      </c>
      <c r="E484" s="59"/>
      <c r="F484" s="59"/>
      <c r="G484" s="59"/>
    </row>
    <row r="485" spans="1:7">
      <c r="A485" s="54" t="str">
        <f>HAMPSHIRE!A70</f>
        <v>Winchester CC</v>
      </c>
      <c r="B485" s="57">
        <f>HAMPSHIRE!D70</f>
        <v>76083</v>
      </c>
      <c r="C485" s="57">
        <f t="shared" si="14"/>
        <v>1314</v>
      </c>
      <c r="D485" s="58">
        <f t="shared" si="15"/>
        <v>1.7574128315210848E-2</v>
      </c>
      <c r="E485" s="59"/>
      <c r="F485" s="59"/>
      <c r="G485" s="59"/>
    </row>
    <row r="486" spans="1:7">
      <c r="A486" s="54" t="str">
        <f>'"BERKSHIRE"'!A31</f>
        <v>Windsor CC</v>
      </c>
      <c r="B486" s="57">
        <f>'"BERKSHIRE"'!D34</f>
        <v>74185</v>
      </c>
      <c r="C486" s="57">
        <f t="shared" si="14"/>
        <v>-584</v>
      </c>
      <c r="D486" s="58">
        <f t="shared" si="15"/>
        <v>-7.8107236956492668E-3</v>
      </c>
      <c r="E486" s="59"/>
      <c r="F486" s="59"/>
      <c r="G486" s="59"/>
    </row>
    <row r="487" spans="1:7">
      <c r="A487" s="54" t="str">
        <f>ESSEX!A76</f>
        <v>Witham and Maldon CC</v>
      </c>
      <c r="B487" s="57">
        <f>ESSEX!D79</f>
        <v>73939</v>
      </c>
      <c r="C487" s="57">
        <f t="shared" si="14"/>
        <v>-830</v>
      </c>
      <c r="D487" s="58">
        <f t="shared" si="15"/>
        <v>-1.1100857307172758E-2</v>
      </c>
      <c r="E487" s="59"/>
      <c r="F487" s="59"/>
      <c r="G487" s="59"/>
    </row>
    <row r="488" spans="1:7">
      <c r="A488" s="54" t="str">
        <f>OXFORDSHIRE!A29</f>
        <v>Witney CC</v>
      </c>
      <c r="B488" s="57">
        <f>OXFORDSHIRE!D29</f>
        <v>78455</v>
      </c>
      <c r="C488" s="57">
        <f t="shared" si="14"/>
        <v>3686</v>
      </c>
      <c r="D488" s="58">
        <f t="shared" si="15"/>
        <v>4.9298506065347941E-2</v>
      </c>
      <c r="E488" s="59"/>
      <c r="F488" s="59"/>
      <c r="G488" s="59"/>
    </row>
    <row r="489" spans="1:7">
      <c r="A489" s="54" t="str">
        <f>SURREY!A54</f>
        <v>Woking CC</v>
      </c>
      <c r="B489" s="57">
        <f>SURREY!D57</f>
        <v>72819</v>
      </c>
      <c r="C489" s="57">
        <f t="shared" si="14"/>
        <v>-1950</v>
      </c>
      <c r="D489" s="58">
        <f t="shared" si="15"/>
        <v>-2.6080327408417928E-2</v>
      </c>
      <c r="E489" s="59"/>
      <c r="F489" s="59"/>
      <c r="G489" s="59"/>
    </row>
    <row r="490" spans="1:7">
      <c r="A490" s="54" t="str">
        <f>'"BERKSHIRE"'!A36</f>
        <v>Wokingham CC</v>
      </c>
      <c r="B490" s="57">
        <f>'"BERKSHIRE"'!D38</f>
        <v>72505</v>
      </c>
      <c r="C490" s="57">
        <f t="shared" si="14"/>
        <v>-2264</v>
      </c>
      <c r="D490" s="58">
        <f t="shared" si="15"/>
        <v>-3.0279928847517019E-2</v>
      </c>
      <c r="E490" s="59"/>
      <c r="F490" s="59"/>
      <c r="G490" s="59"/>
    </row>
    <row r="491" spans="1:7">
      <c r="A491" s="54" t="str">
        <f>'WEST MIDLANDS'!A79</f>
        <v>Wolverhampton South and Coseley BC</v>
      </c>
      <c r="B491" s="57">
        <f>'WEST MIDLANDS'!D81</f>
        <v>73652</v>
      </c>
      <c r="C491" s="57">
        <f t="shared" si="14"/>
        <v>-1117</v>
      </c>
      <c r="D491" s="58">
        <f t="shared" si="15"/>
        <v>-1.4939346520616834E-2</v>
      </c>
      <c r="E491" s="59"/>
      <c r="F491" s="59"/>
      <c r="G491" s="59"/>
    </row>
    <row r="492" spans="1:7">
      <c r="A492" s="54" t="str">
        <f>'WEST MIDLANDS'!A83</f>
        <v>Wolverhampton West BC</v>
      </c>
      <c r="B492" s="57">
        <f>'WEST MIDLANDS'!D83</f>
        <v>77373</v>
      </c>
      <c r="C492" s="57">
        <f t="shared" si="14"/>
        <v>2604</v>
      </c>
      <c r="D492" s="58">
        <f t="shared" si="15"/>
        <v>3.4827267985395018E-2</v>
      </c>
      <c r="E492" s="59"/>
      <c r="F492" s="59"/>
      <c r="G492" s="59"/>
    </row>
    <row r="493" spans="1:7">
      <c r="A493" s="54" t="str">
        <f>GREENWICH!A11</f>
        <v>Woolwich BC</v>
      </c>
      <c r="B493" s="57">
        <f>GREENWICH!D13</f>
        <v>74422</v>
      </c>
      <c r="C493" s="57">
        <f t="shared" si="14"/>
        <v>-347</v>
      </c>
      <c r="D493" s="58">
        <f t="shared" si="15"/>
        <v>-4.6409608260107801E-3</v>
      </c>
      <c r="E493" s="59"/>
      <c r="F493" s="59"/>
      <c r="G493" s="59"/>
    </row>
    <row r="494" spans="1:7">
      <c r="A494" s="54" t="str">
        <f>WORCESTERSHIRE!A29</f>
        <v>Worcester BC</v>
      </c>
      <c r="B494" s="57">
        <f>WORCESTERSHIRE!D31</f>
        <v>74832</v>
      </c>
      <c r="C494" s="57">
        <f t="shared" si="14"/>
        <v>63</v>
      </c>
      <c r="D494" s="58">
        <f t="shared" si="15"/>
        <v>8.4259519319504071E-4</v>
      </c>
      <c r="E494" s="59"/>
      <c r="F494" s="59"/>
      <c r="G494" s="59"/>
    </row>
    <row r="495" spans="1:7">
      <c r="A495" s="54" t="str">
        <f>CUMBRIA!A27</f>
        <v>Workington and Whitehaven CC</v>
      </c>
      <c r="B495" s="57">
        <f>CUMBRIA!D29</f>
        <v>77239</v>
      </c>
      <c r="C495" s="57">
        <f t="shared" si="14"/>
        <v>2470</v>
      </c>
      <c r="D495" s="58">
        <f t="shared" si="15"/>
        <v>3.3035081383996044E-2</v>
      </c>
      <c r="E495" s="59"/>
      <c r="F495" s="59"/>
      <c r="G495" s="59"/>
    </row>
    <row r="496" spans="1:7">
      <c r="A496" s="54" t="str">
        <f>'GREATER MANCHESTER'!A86</f>
        <v>Worsley and Eccles South CC</v>
      </c>
      <c r="B496" s="57">
        <f>'GREATER MANCHESTER'!D86</f>
        <v>72316</v>
      </c>
      <c r="C496" s="57">
        <f t="shared" si="14"/>
        <v>-2453</v>
      </c>
      <c r="D496" s="58">
        <f t="shared" si="15"/>
        <v>-3.280771442710214E-2</v>
      </c>
      <c r="E496" s="59"/>
      <c r="F496" s="59"/>
      <c r="G496" s="59"/>
    </row>
    <row r="497" spans="1:7">
      <c r="A497" s="54" t="str">
        <f>'WEST SUSSEX'!A37</f>
        <v>Worthing West BC</v>
      </c>
      <c r="B497" s="57">
        <f>'WEST SUSSEX'!D39</f>
        <v>74210</v>
      </c>
      <c r="C497" s="57">
        <f t="shared" si="14"/>
        <v>-559</v>
      </c>
      <c r="D497" s="58">
        <f t="shared" si="15"/>
        <v>-7.4763605237464729E-3</v>
      </c>
      <c r="E497" s="59"/>
      <c r="F497" s="59"/>
      <c r="G497" s="59"/>
    </row>
    <row r="498" spans="1:7">
      <c r="A498" s="54" t="str">
        <f>BUCKINGHAMSHIRE!A31</f>
        <v>Wycombe CC</v>
      </c>
      <c r="B498" s="57">
        <f>BUCKINGHAMSHIRE!D31</f>
        <v>77998</v>
      </c>
      <c r="C498" s="57">
        <f t="shared" si="14"/>
        <v>3229</v>
      </c>
      <c r="D498" s="58">
        <f t="shared" si="15"/>
        <v>4.3186347282964867E-2</v>
      </c>
      <c r="E498" s="59"/>
      <c r="F498" s="59"/>
      <c r="G498" s="59"/>
    </row>
    <row r="499" spans="1:7">
      <c r="A499" s="54" t="str">
        <f>WORCESTERSHIRE!A33</f>
        <v>Wyre Forest CC</v>
      </c>
      <c r="B499" s="57">
        <f>WORCESTERSHIRE!D35</f>
        <v>77378</v>
      </c>
      <c r="C499" s="57">
        <f t="shared" si="14"/>
        <v>2609</v>
      </c>
      <c r="D499" s="58">
        <f t="shared" si="15"/>
        <v>3.4894140619775575E-2</v>
      </c>
      <c r="E499" s="59"/>
      <c r="F499" s="59"/>
      <c r="G499" s="59"/>
    </row>
    <row r="500" spans="1:7">
      <c r="A500" s="54" t="str">
        <f>'GREATER MANCHESTER'!A88</f>
        <v>Wythenshawe and Sale East BC</v>
      </c>
      <c r="B500" s="57">
        <f>'GREATER MANCHESTER'!D90</f>
        <v>75919</v>
      </c>
      <c r="C500" s="57">
        <f t="shared" si="14"/>
        <v>1150</v>
      </c>
      <c r="D500" s="58">
        <f t="shared" si="15"/>
        <v>1.5380705907528521E-2</v>
      </c>
      <c r="E500" s="59"/>
      <c r="F500" s="59"/>
      <c r="G500" s="59"/>
    </row>
    <row r="501" spans="1:7">
      <c r="A501" s="54" t="str">
        <f>SOMERSET!A29</f>
        <v>Yeovil CC</v>
      </c>
      <c r="B501" s="57">
        <f>SOMERSET!D29</f>
        <v>76351</v>
      </c>
      <c r="C501" s="57">
        <f t="shared" si="14"/>
        <v>1582</v>
      </c>
      <c r="D501" s="58">
        <f t="shared" si="15"/>
        <v>2.1158501518008799E-2</v>
      </c>
      <c r="E501" s="59"/>
      <c r="F501" s="59"/>
      <c r="G501" s="59"/>
    </row>
    <row r="502" spans="1:7">
      <c r="A502" s="54" t="str">
        <f>'NORTH YORKSHIRE'!A44</f>
        <v>York Central BC</v>
      </c>
      <c r="B502" s="57">
        <f>'NORTH YORKSHIRE'!D44</f>
        <v>76146</v>
      </c>
      <c r="C502" s="57">
        <f t="shared" si="14"/>
        <v>1377</v>
      </c>
      <c r="D502" s="58">
        <f t="shared" si="15"/>
        <v>1.841672350840589E-2</v>
      </c>
      <c r="E502" s="59"/>
      <c r="F502" s="59"/>
      <c r="G502" s="59"/>
    </row>
    <row r="503" spans="1:7">
      <c r="A503" s="54" t="str">
        <f>'NORTH YORKSHIRE'!A46</f>
        <v>York Outer CC</v>
      </c>
      <c r="B503" s="57">
        <f>'NORTH YORKSHIRE'!D46</f>
        <v>71218</v>
      </c>
      <c r="C503" s="57">
        <f t="shared" si="14"/>
        <v>-3551</v>
      </c>
      <c r="D503" s="58">
        <f t="shared" si="15"/>
        <v>-4.7492944937072852E-2</v>
      </c>
      <c r="E503" s="59"/>
      <c r="F503" s="59"/>
      <c r="G503" s="59"/>
    </row>
    <row r="504" spans="1:7">
      <c r="A504" s="54"/>
      <c r="B504" s="57"/>
      <c r="C504" s="57"/>
      <c r="D504" s="58"/>
      <c r="E504" s="59"/>
      <c r="F504" s="59"/>
      <c r="G504" s="59"/>
    </row>
    <row r="505" spans="1:7">
      <c r="A505" s="54" t="s">
        <v>1041</v>
      </c>
      <c r="B505" s="57">
        <f>SUM(B3:B503)</f>
        <v>37399942</v>
      </c>
    </row>
    <row r="506" spans="1:7">
      <c r="B506" s="60"/>
    </row>
    <row r="507" spans="1:7">
      <c r="A507" s="54" t="s">
        <v>1042</v>
      </c>
      <c r="B507" s="57">
        <f>MAX(B3:B503)-MIN(B3:B503)</f>
        <v>26322</v>
      </c>
    </row>
    <row r="508" spans="1:7">
      <c r="A508" s="54" t="s">
        <v>1043</v>
      </c>
      <c r="B508" s="57">
        <f>MAX(B3:B503)</f>
        <v>78502</v>
      </c>
    </row>
    <row r="509" spans="1:7">
      <c r="A509" s="54" t="s">
        <v>1044</v>
      </c>
      <c r="B509" s="57">
        <f>MIN(B3:B503)</f>
        <v>52180</v>
      </c>
    </row>
    <row r="510" spans="1:7">
      <c r="A510" s="54" t="s">
        <v>1045</v>
      </c>
      <c r="B510" s="57">
        <f>STDEVP(B3:B503)</f>
        <v>2631.8825763762889</v>
      </c>
    </row>
    <row r="511" spans="1:7">
      <c r="A511" s="54" t="s">
        <v>1046</v>
      </c>
      <c r="B511" s="61">
        <f>REGIONS!B469</f>
        <v>74769</v>
      </c>
    </row>
    <row r="513" spans="1:2">
      <c r="A513" s="54" t="s">
        <v>4087</v>
      </c>
      <c r="B513" s="57">
        <f>(B511*1.05)</f>
        <v>78507.45</v>
      </c>
    </row>
    <row r="514" spans="1:2">
      <c r="A514" s="54" t="s">
        <v>861</v>
      </c>
      <c r="B514" s="57">
        <f>(B511*0.95)</f>
        <v>71030.55</v>
      </c>
    </row>
    <row r="515" spans="1:2">
      <c r="A515" s="21"/>
      <c r="B515" s="59"/>
    </row>
  </sheetData>
  <sortState ref="A3:D503">
    <sortCondition ref="A3:A503"/>
  </sortState>
  <phoneticPr fontId="5" type="noConversion"/>
  <printOptions gridLinesSet="0"/>
  <pageMargins left="1.1023622047244095" right="0" top="0.78740157480314965" bottom="0.51181102362204722" header="0.51181102362204722" footer="0.51181102362204722"/>
  <pageSetup paperSize="9" scale="70" orientation="portrait" r:id="rId1"/>
  <headerFooter alignWithMargins="0">
    <oddFooter>&amp;C&amp;8&amp;P of &amp;N</oddFooter>
  </headerFooter>
  <ignoredErrors>
    <ignoredError sqref="A505:A511 C512:D512 C516:D516 C513:D513 C517:D517 C518:D518 D505:D511 B506:C506 C505 C508:C509 C507 C510:C511 B517 B511 B512:B514 A3:D503 B505 B507:B510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39"/>
  <sheetViews>
    <sheetView showGridLines="0" zoomScaleNormal="100" workbookViewId="0"/>
  </sheetViews>
  <sheetFormatPr defaultColWidth="12.59765625" defaultRowHeight="14.5"/>
  <cols>
    <col min="1" max="1" width="4.8984375" style="214" customWidth="1"/>
    <col min="2" max="2" width="45.69921875" style="214" customWidth="1"/>
    <col min="3" max="3" width="11.3984375" style="214" customWidth="1"/>
    <col min="4" max="4" width="10.09765625" style="214" customWidth="1"/>
    <col min="5" max="5" width="2.296875" style="214" customWidth="1"/>
    <col min="6" max="6" width="29.3984375" style="214" customWidth="1"/>
    <col min="7" max="16384" width="12.59765625" style="214"/>
  </cols>
  <sheetData>
    <row r="1" spans="1:6">
      <c r="A1" s="213" t="s">
        <v>1075</v>
      </c>
      <c r="D1" s="215">
        <v>2016</v>
      </c>
    </row>
    <row r="3" spans="1:6">
      <c r="A3" s="213" t="s">
        <v>4088</v>
      </c>
      <c r="C3" s="213"/>
      <c r="D3" s="216">
        <f t="shared" ref="D3" si="0">SUM(D7:D14)</f>
        <v>585891</v>
      </c>
    </row>
    <row r="4" spans="1:6" ht="15" thickBot="1">
      <c r="A4" s="213" t="s">
        <v>4089</v>
      </c>
      <c r="C4" s="213"/>
      <c r="D4" s="217">
        <f t="shared" ref="D4" si="1">D59</f>
        <v>170659</v>
      </c>
    </row>
    <row r="5" spans="1:6" ht="15" thickBot="1">
      <c r="D5" s="217">
        <f t="shared" ref="D5" si="2">D3+D4</f>
        <v>756550</v>
      </c>
    </row>
    <row r="6" spans="1:6">
      <c r="D6" s="218"/>
    </row>
    <row r="7" spans="1:6">
      <c r="A7" s="213" t="s">
        <v>4090</v>
      </c>
      <c r="C7" s="213"/>
      <c r="D7" s="216">
        <f t="shared" ref="D7" si="3">D88</f>
        <v>90840</v>
      </c>
      <c r="F7" s="219"/>
    </row>
    <row r="8" spans="1:6">
      <c r="A8" s="213" t="s">
        <v>4091</v>
      </c>
      <c r="C8" s="213"/>
      <c r="D8" s="216">
        <f t="shared" ref="D8" si="4">D123</f>
        <v>56533</v>
      </c>
      <c r="F8" s="219"/>
    </row>
    <row r="9" spans="1:6">
      <c r="A9" s="213" t="s">
        <v>4092</v>
      </c>
      <c r="C9" s="213"/>
      <c r="D9" s="216">
        <f t="shared" ref="D9" si="5">D154</f>
        <v>79028</v>
      </c>
      <c r="F9" s="219"/>
    </row>
    <row r="10" spans="1:6">
      <c r="A10" s="213" t="s">
        <v>4093</v>
      </c>
      <c r="C10" s="213"/>
      <c r="D10" s="216">
        <f t="shared" ref="D10" si="6">D183</f>
        <v>54902</v>
      </c>
      <c r="F10" s="219"/>
    </row>
    <row r="11" spans="1:6">
      <c r="A11" s="213" t="s">
        <v>4094</v>
      </c>
      <c r="C11" s="213"/>
      <c r="D11" s="216">
        <f t="shared" ref="D11" si="7">D217</f>
        <v>84625</v>
      </c>
      <c r="F11" s="219"/>
    </row>
    <row r="12" spans="1:6">
      <c r="A12" s="213" t="s">
        <v>4095</v>
      </c>
      <c r="C12" s="213"/>
      <c r="D12" s="216">
        <f t="shared" ref="D12" si="8">D246</f>
        <v>71130</v>
      </c>
      <c r="F12" s="219"/>
    </row>
    <row r="13" spans="1:6">
      <c r="A13" s="213" t="s">
        <v>4096</v>
      </c>
      <c r="C13" s="213"/>
      <c r="D13" s="216">
        <f t="shared" ref="D13" si="9">D283</f>
        <v>77256</v>
      </c>
      <c r="F13" s="219"/>
    </row>
    <row r="14" spans="1:6">
      <c r="A14" s="213" t="s">
        <v>4097</v>
      </c>
      <c r="C14" s="213"/>
      <c r="D14" s="216">
        <f t="shared" ref="D14" si="10">D319</f>
        <v>71577</v>
      </c>
      <c r="F14" s="219"/>
    </row>
    <row r="16" spans="1:6">
      <c r="A16" s="213" t="s">
        <v>4098</v>
      </c>
      <c r="D16" s="216">
        <f>D113</f>
        <v>30776</v>
      </c>
      <c r="F16" s="213" t="s">
        <v>4099</v>
      </c>
    </row>
    <row r="17" spans="1:6">
      <c r="A17" s="213"/>
      <c r="D17" s="216">
        <f>D145</f>
        <v>14701</v>
      </c>
      <c r="F17" s="213" t="s">
        <v>4100</v>
      </c>
    </row>
    <row r="18" spans="1:6" ht="15" thickBot="1">
      <c r="D18" s="217">
        <f>D310</f>
        <v>32080</v>
      </c>
      <c r="F18" s="213" t="s">
        <v>4101</v>
      </c>
    </row>
    <row r="19" spans="1:6" ht="15" thickBot="1">
      <c r="D19" s="217">
        <f>SUM(D16:D18)</f>
        <v>77557</v>
      </c>
    </row>
    <row r="20" spans="1:6">
      <c r="D20" s="220"/>
    </row>
    <row r="21" spans="1:6">
      <c r="A21" s="213" t="s">
        <v>4102</v>
      </c>
      <c r="D21" s="216">
        <f t="shared" ref="D21" si="11">D114</f>
        <v>54057</v>
      </c>
      <c r="F21" s="213" t="s">
        <v>4099</v>
      </c>
    </row>
    <row r="22" spans="1:6">
      <c r="A22" s="213"/>
      <c r="D22" s="216">
        <f>D61</f>
        <v>11220</v>
      </c>
      <c r="F22" s="213" t="s">
        <v>4103</v>
      </c>
    </row>
    <row r="23" spans="1:6" ht="15" thickBot="1">
      <c r="A23" s="213"/>
      <c r="D23" s="216">
        <f>D238</f>
        <v>8652</v>
      </c>
      <c r="F23" s="213" t="s">
        <v>4104</v>
      </c>
    </row>
    <row r="24" spans="1:6" ht="15" thickBot="1">
      <c r="A24" s="213"/>
      <c r="D24" s="221">
        <f t="shared" ref="D24" si="12">SUM(D21:D23)</f>
        <v>73929</v>
      </c>
      <c r="F24" s="213"/>
    </row>
    <row r="25" spans="1:6">
      <c r="D25" s="218"/>
    </row>
    <row r="26" spans="1:6">
      <c r="A26" s="213" t="s">
        <v>4105</v>
      </c>
      <c r="D26" s="216">
        <f t="shared" ref="D26" si="13">D146</f>
        <v>41832</v>
      </c>
      <c r="F26" s="213" t="s">
        <v>4100</v>
      </c>
    </row>
    <row r="27" spans="1:6">
      <c r="A27" s="213"/>
      <c r="D27" s="216">
        <f>D175</f>
        <v>3353</v>
      </c>
      <c r="F27" s="213" t="s">
        <v>4106</v>
      </c>
    </row>
    <row r="28" spans="1:6" ht="15" thickBot="1">
      <c r="D28" s="217">
        <f t="shared" ref="D28" si="14">D311</f>
        <v>31761</v>
      </c>
      <c r="F28" s="213" t="s">
        <v>4101</v>
      </c>
    </row>
    <row r="29" spans="1:6" ht="15" thickBot="1">
      <c r="D29" s="217">
        <f t="shared" ref="D29" si="15">SUM(D26:D28)</f>
        <v>76946</v>
      </c>
    </row>
    <row r="30" spans="1:6">
      <c r="D30" s="218"/>
    </row>
    <row r="31" spans="1:6">
      <c r="A31" s="213" t="s">
        <v>4107</v>
      </c>
      <c r="D31" s="216">
        <f t="shared" ref="D31" si="16">D176</f>
        <v>75675</v>
      </c>
      <c r="F31" s="213" t="s">
        <v>4106</v>
      </c>
    </row>
    <row r="32" spans="1:6">
      <c r="D32" s="218"/>
    </row>
    <row r="33" spans="1:6">
      <c r="A33" s="213" t="s">
        <v>4108</v>
      </c>
      <c r="D33" s="216">
        <f t="shared" ref="D33" si="17">D115</f>
        <v>6007</v>
      </c>
      <c r="F33" s="213" t="s">
        <v>4099</v>
      </c>
    </row>
    <row r="34" spans="1:6">
      <c r="D34" s="220">
        <f t="shared" ref="D34" si="18">D210</f>
        <v>54902</v>
      </c>
      <c r="F34" s="213" t="s">
        <v>4041</v>
      </c>
    </row>
    <row r="35" spans="1:6" ht="15" thickBot="1">
      <c r="D35" s="217">
        <f>D312</f>
        <v>13415</v>
      </c>
      <c r="F35" s="222" t="s">
        <v>4101</v>
      </c>
    </row>
    <row r="36" spans="1:6" ht="15" thickBot="1">
      <c r="D36" s="217">
        <f>SUM(D33:D35)</f>
        <v>74324</v>
      </c>
    </row>
    <row r="37" spans="1:6">
      <c r="D37" s="218"/>
    </row>
    <row r="38" spans="1:6">
      <c r="A38" s="213" t="s">
        <v>4109</v>
      </c>
      <c r="D38" s="216">
        <f t="shared" ref="D38" si="19">D79</f>
        <v>76296</v>
      </c>
      <c r="F38" s="213" t="s">
        <v>4103</v>
      </c>
    </row>
    <row r="39" spans="1:6">
      <c r="D39" s="218"/>
    </row>
    <row r="40" spans="1:6">
      <c r="A40" s="213" t="s">
        <v>4110</v>
      </c>
      <c r="D40" s="216">
        <f t="shared" ref="D40" si="20">D80</f>
        <v>71477</v>
      </c>
      <c r="F40" s="213" t="s">
        <v>4103</v>
      </c>
    </row>
    <row r="41" spans="1:6" ht="15" thickBot="1">
      <c r="A41" s="213"/>
      <c r="D41" s="217">
        <f>D336</f>
        <v>5323</v>
      </c>
      <c r="F41" s="213" t="s">
        <v>4111</v>
      </c>
    </row>
    <row r="42" spans="1:6" ht="15" thickBot="1">
      <c r="A42" s="213"/>
      <c r="D42" s="217">
        <f t="shared" ref="D42" si="21">D40+D41</f>
        <v>76800</v>
      </c>
      <c r="F42" s="213"/>
    </row>
    <row r="43" spans="1:6">
      <c r="D43" s="218"/>
    </row>
    <row r="44" spans="1:6">
      <c r="A44" s="213" t="s">
        <v>4112</v>
      </c>
      <c r="D44" s="216">
        <f t="shared" ref="D44" si="22">D239</f>
        <v>75973</v>
      </c>
      <c r="F44" s="213" t="s">
        <v>4104</v>
      </c>
    </row>
    <row r="45" spans="1:6">
      <c r="D45" s="218"/>
    </row>
    <row r="46" spans="1:6">
      <c r="A46" s="213" t="s">
        <v>4113</v>
      </c>
      <c r="D46" s="220">
        <f t="shared" ref="D46" si="23">D276</f>
        <v>71130</v>
      </c>
      <c r="F46" s="213" t="s">
        <v>4043</v>
      </c>
    </row>
    <row r="47" spans="1:6">
      <c r="D47" s="218"/>
    </row>
    <row r="48" spans="1:6">
      <c r="A48" s="213" t="s">
        <v>4114</v>
      </c>
      <c r="D48" s="218">
        <f>D81</f>
        <v>11666</v>
      </c>
      <c r="F48" s="213" t="s">
        <v>4103</v>
      </c>
    </row>
    <row r="49" spans="1:6" ht="15" thickBot="1">
      <c r="D49" s="217">
        <f t="shared" ref="D49" si="24">D337</f>
        <v>66254</v>
      </c>
      <c r="F49" s="213" t="s">
        <v>4111</v>
      </c>
    </row>
    <row r="50" spans="1:6" ht="15" thickBot="1">
      <c r="A50" s="213"/>
      <c r="D50" s="217">
        <f t="shared" ref="D50" si="25">D48+D49</f>
        <v>77920</v>
      </c>
      <c r="F50" s="213"/>
    </row>
    <row r="51" spans="1:6">
      <c r="D51" s="218"/>
    </row>
    <row r="52" spans="1:6">
      <c r="A52" s="213" t="s">
        <v>1041</v>
      </c>
      <c r="D52" s="216">
        <f>D19+D24+D29+D31+D36+D38+D42+D44+D46+D50</f>
        <v>756550</v>
      </c>
    </row>
    <row r="53" spans="1:6">
      <c r="D53" s="218"/>
    </row>
    <row r="54" spans="1:6">
      <c r="A54" s="213" t="s">
        <v>4115</v>
      </c>
      <c r="D54" s="216"/>
    </row>
    <row r="57" spans="1:6">
      <c r="D57" s="10" t="s">
        <v>285</v>
      </c>
      <c r="E57" s="16"/>
      <c r="F57" s="38" t="s">
        <v>4116</v>
      </c>
    </row>
    <row r="58" spans="1:6">
      <c r="D58" s="15">
        <v>2016</v>
      </c>
      <c r="E58" s="16"/>
      <c r="F58" s="18" t="s">
        <v>286</v>
      </c>
    </row>
    <row r="59" spans="1:6">
      <c r="A59" s="213" t="s">
        <v>4089</v>
      </c>
      <c r="D59" s="216">
        <f t="shared" ref="D59" si="26">SUM(D60:D76)</f>
        <v>170659</v>
      </c>
    </row>
    <row r="60" spans="1:6">
      <c r="A60" s="223">
        <v>1</v>
      </c>
      <c r="B60" s="213" t="s">
        <v>998</v>
      </c>
      <c r="C60" s="1" t="s">
        <v>4117</v>
      </c>
      <c r="D60" s="7">
        <v>8996</v>
      </c>
      <c r="F60" s="213" t="s">
        <v>4109</v>
      </c>
    </row>
    <row r="61" spans="1:6">
      <c r="A61" s="223">
        <v>2</v>
      </c>
      <c r="B61" s="213" t="s">
        <v>4118</v>
      </c>
      <c r="C61" s="1" t="s">
        <v>4119</v>
      </c>
      <c r="D61" s="7">
        <v>11220</v>
      </c>
      <c r="F61" s="213" t="s">
        <v>4102</v>
      </c>
    </row>
    <row r="62" spans="1:6">
      <c r="A62" s="223">
        <v>3</v>
      </c>
      <c r="B62" s="213" t="s">
        <v>4120</v>
      </c>
      <c r="C62" s="1" t="s">
        <v>4121</v>
      </c>
      <c r="D62" s="7">
        <v>10911</v>
      </c>
      <c r="F62" s="213" t="s">
        <v>4110</v>
      </c>
    </row>
    <row r="63" spans="1:6">
      <c r="A63" s="223">
        <v>4</v>
      </c>
      <c r="B63" s="213" t="s">
        <v>3910</v>
      </c>
      <c r="C63" s="1" t="s">
        <v>4122</v>
      </c>
      <c r="D63" s="7">
        <v>9408</v>
      </c>
      <c r="F63" s="213" t="s">
        <v>4109</v>
      </c>
    </row>
    <row r="64" spans="1:6">
      <c r="A64" s="223">
        <v>5</v>
      </c>
      <c r="B64" s="213" t="s">
        <v>4123</v>
      </c>
      <c r="C64" s="1" t="s">
        <v>4124</v>
      </c>
      <c r="D64" s="7">
        <v>9799</v>
      </c>
      <c r="F64" s="213" t="s">
        <v>4109</v>
      </c>
    </row>
    <row r="65" spans="1:6">
      <c r="A65" s="223">
        <v>6</v>
      </c>
      <c r="B65" s="213" t="s">
        <v>4125</v>
      </c>
      <c r="C65" s="1" t="s">
        <v>4126</v>
      </c>
      <c r="D65" s="7">
        <v>9810</v>
      </c>
      <c r="F65" s="213" t="s">
        <v>4110</v>
      </c>
    </row>
    <row r="66" spans="1:6">
      <c r="A66" s="223">
        <v>7</v>
      </c>
      <c r="B66" s="213" t="s">
        <v>4127</v>
      </c>
      <c r="C66" s="1" t="s">
        <v>4128</v>
      </c>
      <c r="D66" s="7">
        <v>10015</v>
      </c>
      <c r="F66" s="213" t="s">
        <v>4110</v>
      </c>
    </row>
    <row r="67" spans="1:6">
      <c r="A67" s="223">
        <v>8</v>
      </c>
      <c r="B67" s="213" t="s">
        <v>4129</v>
      </c>
      <c r="C67" s="1" t="s">
        <v>4130</v>
      </c>
      <c r="D67" s="7">
        <v>11355</v>
      </c>
      <c r="F67" s="213" t="s">
        <v>4110</v>
      </c>
    </row>
    <row r="68" spans="1:6">
      <c r="A68" s="223">
        <v>9</v>
      </c>
      <c r="B68" s="213" t="s">
        <v>4131</v>
      </c>
      <c r="C68" s="1" t="s">
        <v>4132</v>
      </c>
      <c r="D68" s="7">
        <v>9931</v>
      </c>
      <c r="F68" s="213" t="s">
        <v>4109</v>
      </c>
    </row>
    <row r="69" spans="1:6">
      <c r="A69" s="223">
        <v>10</v>
      </c>
      <c r="B69" s="213" t="s">
        <v>4133</v>
      </c>
      <c r="C69" s="1" t="s">
        <v>4134</v>
      </c>
      <c r="D69" s="7">
        <v>9243</v>
      </c>
      <c r="F69" s="213" t="s">
        <v>4109</v>
      </c>
    </row>
    <row r="70" spans="1:6">
      <c r="A70" s="223">
        <v>11</v>
      </c>
      <c r="B70" s="213" t="s">
        <v>4135</v>
      </c>
      <c r="C70" s="1" t="s">
        <v>4136</v>
      </c>
      <c r="D70" s="7">
        <v>10645</v>
      </c>
      <c r="F70" s="213" t="s">
        <v>4109</v>
      </c>
    </row>
    <row r="71" spans="1:6">
      <c r="A71" s="223">
        <v>12</v>
      </c>
      <c r="B71" s="213" t="s">
        <v>4137</v>
      </c>
      <c r="C71" s="1" t="s">
        <v>4138</v>
      </c>
      <c r="D71" s="7">
        <v>9174</v>
      </c>
      <c r="F71" s="213" t="s">
        <v>4109</v>
      </c>
    </row>
    <row r="72" spans="1:6">
      <c r="A72" s="223">
        <v>13</v>
      </c>
      <c r="B72" s="213" t="s">
        <v>4139</v>
      </c>
      <c r="C72" s="1" t="s">
        <v>4140</v>
      </c>
      <c r="D72" s="7">
        <v>11666</v>
      </c>
      <c r="F72" s="213" t="s">
        <v>4114</v>
      </c>
    </row>
    <row r="73" spans="1:6">
      <c r="A73" s="223">
        <v>14</v>
      </c>
      <c r="B73" s="213" t="s">
        <v>4141</v>
      </c>
      <c r="C73" s="1" t="s">
        <v>4142</v>
      </c>
      <c r="D73" s="7">
        <v>9100</v>
      </c>
      <c r="F73" s="213" t="s">
        <v>4109</v>
      </c>
    </row>
    <row r="74" spans="1:6">
      <c r="A74" s="223">
        <v>15</v>
      </c>
      <c r="B74" s="213" t="s">
        <v>4143</v>
      </c>
      <c r="C74" s="1" t="s">
        <v>4144</v>
      </c>
      <c r="D74" s="8">
        <v>10018</v>
      </c>
      <c r="F74" s="213" t="s">
        <v>4110</v>
      </c>
    </row>
    <row r="75" spans="1:6">
      <c r="A75" s="223">
        <v>16</v>
      </c>
      <c r="B75" s="213" t="s">
        <v>4145</v>
      </c>
      <c r="C75" s="1" t="s">
        <v>4146</v>
      </c>
      <c r="D75" s="7">
        <v>9352</v>
      </c>
      <c r="F75" s="213" t="s">
        <v>4110</v>
      </c>
    </row>
    <row r="76" spans="1:6">
      <c r="A76" s="223">
        <v>17</v>
      </c>
      <c r="B76" s="213" t="s">
        <v>4147</v>
      </c>
      <c r="C76" s="1" t="s">
        <v>4148</v>
      </c>
      <c r="D76" s="8">
        <v>10016</v>
      </c>
      <c r="F76" s="213" t="s">
        <v>4110</v>
      </c>
    </row>
    <row r="77" spans="1:6">
      <c r="A77" s="223"/>
      <c r="B77" s="213"/>
      <c r="C77" s="1"/>
      <c r="D77" s="8"/>
      <c r="F77" s="213"/>
    </row>
    <row r="78" spans="1:6">
      <c r="A78" s="213" t="s">
        <v>4149</v>
      </c>
      <c r="D78" s="218">
        <f>D61</f>
        <v>11220</v>
      </c>
    </row>
    <row r="79" spans="1:6">
      <c r="A79" s="213" t="s">
        <v>4109</v>
      </c>
      <c r="D79" s="216">
        <f>D60+D63+D64+SUM(D68:D71)+D73</f>
        <v>76296</v>
      </c>
    </row>
    <row r="80" spans="1:6">
      <c r="A80" s="213" t="s">
        <v>4150</v>
      </c>
      <c r="D80" s="216">
        <f>D62+SUM(D65:D67)+SUM(D74:D76)</f>
        <v>71477</v>
      </c>
    </row>
    <row r="81" spans="1:10">
      <c r="A81" s="213" t="s">
        <v>4151</v>
      </c>
      <c r="D81" s="216">
        <f>D72</f>
        <v>11666</v>
      </c>
    </row>
    <row r="83" spans="1:10">
      <c r="A83" s="213" t="s">
        <v>4152</v>
      </c>
    </row>
    <row r="84" spans="1:10">
      <c r="A84" s="213"/>
    </row>
    <row r="85" spans="1:10">
      <c r="A85" s="213"/>
    </row>
    <row r="86" spans="1:10">
      <c r="D86" s="10" t="s">
        <v>285</v>
      </c>
      <c r="E86" s="16"/>
      <c r="F86" s="38" t="s">
        <v>4116</v>
      </c>
    </row>
    <row r="87" spans="1:10">
      <c r="D87" s="15">
        <v>2016</v>
      </c>
      <c r="E87" s="16"/>
      <c r="F87" s="18" t="s">
        <v>286</v>
      </c>
    </row>
    <row r="88" spans="1:10">
      <c r="A88" s="213" t="s">
        <v>4153</v>
      </c>
      <c r="D88" s="216">
        <f>SUM(D89:D103)+SUM(D104:D111)</f>
        <v>90840</v>
      </c>
    </row>
    <row r="89" spans="1:10">
      <c r="A89" s="223">
        <v>1</v>
      </c>
      <c r="B89" s="213" t="s">
        <v>4154</v>
      </c>
      <c r="C89" s="1" t="s">
        <v>4155</v>
      </c>
      <c r="D89" s="13">
        <v>5630</v>
      </c>
      <c r="F89" s="213" t="s">
        <v>4098</v>
      </c>
      <c r="H89" s="1"/>
      <c r="J89" s="1"/>
    </row>
    <row r="90" spans="1:10">
      <c r="A90" s="223">
        <v>2</v>
      </c>
      <c r="B90" s="213" t="s">
        <v>4156</v>
      </c>
      <c r="C90" s="1" t="s">
        <v>4157</v>
      </c>
      <c r="D90" s="13">
        <v>2002</v>
      </c>
      <c r="F90" s="213" t="s">
        <v>4108</v>
      </c>
      <c r="H90" s="1"/>
      <c r="J90" s="1"/>
    </row>
    <row r="91" spans="1:10">
      <c r="A91" s="223">
        <v>3</v>
      </c>
      <c r="B91" s="213" t="s">
        <v>4158</v>
      </c>
      <c r="C91" s="1" t="s">
        <v>4159</v>
      </c>
      <c r="D91" s="13">
        <v>4138</v>
      </c>
      <c r="F91" s="213" t="s">
        <v>4102</v>
      </c>
      <c r="H91" s="1"/>
      <c r="J91" s="1"/>
    </row>
    <row r="92" spans="1:10">
      <c r="A92" s="223">
        <v>4</v>
      </c>
      <c r="B92" s="213" t="s">
        <v>4160</v>
      </c>
      <c r="C92" s="1" t="s">
        <v>4161</v>
      </c>
      <c r="D92" s="13">
        <v>4483</v>
      </c>
      <c r="F92" s="213" t="s">
        <v>4102</v>
      </c>
      <c r="H92" s="1"/>
      <c r="J92" s="1"/>
    </row>
    <row r="93" spans="1:10">
      <c r="A93" s="223">
        <v>5</v>
      </c>
      <c r="B93" s="213" t="s">
        <v>4162</v>
      </c>
      <c r="C93" s="1" t="s">
        <v>4163</v>
      </c>
      <c r="D93" s="13">
        <v>3767</v>
      </c>
      <c r="F93" s="213" t="s">
        <v>4102</v>
      </c>
      <c r="H93" s="1"/>
      <c r="J93" s="1"/>
    </row>
    <row r="94" spans="1:10">
      <c r="A94" s="223">
        <v>6</v>
      </c>
      <c r="B94" s="213" t="s">
        <v>4164</v>
      </c>
      <c r="C94" s="1" t="s">
        <v>4165</v>
      </c>
      <c r="D94" s="13">
        <v>4164</v>
      </c>
      <c r="F94" s="213" t="s">
        <v>4102</v>
      </c>
      <c r="H94" s="1"/>
      <c r="J94" s="1"/>
    </row>
    <row r="95" spans="1:10">
      <c r="A95" s="223">
        <v>7</v>
      </c>
      <c r="B95" s="213" t="s">
        <v>4166</v>
      </c>
      <c r="C95" s="1" t="s">
        <v>4167</v>
      </c>
      <c r="D95" s="13">
        <v>3599</v>
      </c>
      <c r="F95" s="213" t="s">
        <v>4102</v>
      </c>
      <c r="H95" s="1"/>
      <c r="J95" s="1"/>
    </row>
    <row r="96" spans="1:10">
      <c r="A96" s="223">
        <v>8</v>
      </c>
      <c r="B96" s="213" t="s">
        <v>4168</v>
      </c>
      <c r="C96" s="1" t="s">
        <v>4169</v>
      </c>
      <c r="D96" s="13">
        <v>1892</v>
      </c>
      <c r="F96" s="213" t="s">
        <v>4108</v>
      </c>
      <c r="H96" s="1"/>
      <c r="J96" s="1"/>
    </row>
    <row r="97" spans="1:10">
      <c r="A97" s="223">
        <v>9</v>
      </c>
      <c r="B97" s="213" t="s">
        <v>4170</v>
      </c>
      <c r="C97" s="1" t="s">
        <v>4171</v>
      </c>
      <c r="D97" s="13">
        <v>3753</v>
      </c>
      <c r="F97" s="213" t="s">
        <v>4102</v>
      </c>
      <c r="H97" s="1"/>
      <c r="J97" s="1"/>
    </row>
    <row r="98" spans="1:10">
      <c r="A98" s="223">
        <v>10</v>
      </c>
      <c r="B98" s="213" t="s">
        <v>4172</v>
      </c>
      <c r="C98" s="1" t="s">
        <v>4173</v>
      </c>
      <c r="D98" s="13">
        <v>3753</v>
      </c>
      <c r="F98" s="213" t="s">
        <v>4102</v>
      </c>
      <c r="H98" s="1"/>
      <c r="J98" s="1"/>
    </row>
    <row r="99" spans="1:10">
      <c r="A99" s="223">
        <v>11</v>
      </c>
      <c r="B99" s="213" t="s">
        <v>4174</v>
      </c>
      <c r="C99" s="1" t="s">
        <v>4175</v>
      </c>
      <c r="D99" s="13">
        <v>3790</v>
      </c>
      <c r="F99" s="213" t="s">
        <v>4102</v>
      </c>
      <c r="H99" s="1"/>
      <c r="J99" s="1"/>
    </row>
    <row r="100" spans="1:10">
      <c r="A100" s="223">
        <v>12</v>
      </c>
      <c r="B100" s="213" t="s">
        <v>4176</v>
      </c>
      <c r="C100" s="1" t="s">
        <v>4177</v>
      </c>
      <c r="D100" s="13">
        <v>4249</v>
      </c>
      <c r="F100" s="213" t="s">
        <v>4102</v>
      </c>
      <c r="H100" s="1"/>
      <c r="J100" s="1"/>
    </row>
    <row r="101" spans="1:10">
      <c r="A101" s="223">
        <v>13</v>
      </c>
      <c r="B101" s="213" t="s">
        <v>4178</v>
      </c>
      <c r="C101" s="1" t="s">
        <v>4179</v>
      </c>
      <c r="D101" s="13">
        <v>4312</v>
      </c>
      <c r="F101" s="213" t="s">
        <v>4102</v>
      </c>
      <c r="H101" s="1"/>
      <c r="J101" s="1"/>
    </row>
    <row r="102" spans="1:10">
      <c r="A102" s="223">
        <v>14</v>
      </c>
      <c r="B102" s="213" t="s">
        <v>4180</v>
      </c>
      <c r="C102" s="1" t="s">
        <v>4181</v>
      </c>
      <c r="D102" s="13">
        <v>4154</v>
      </c>
      <c r="F102" s="213" t="s">
        <v>4098</v>
      </c>
      <c r="H102" s="1"/>
      <c r="J102" s="1"/>
    </row>
    <row r="103" spans="1:10">
      <c r="A103" s="223">
        <v>15</v>
      </c>
      <c r="B103" s="213" t="s">
        <v>4182</v>
      </c>
      <c r="C103" s="1" t="s">
        <v>4183</v>
      </c>
      <c r="D103" s="13">
        <v>5944</v>
      </c>
      <c r="F103" s="213" t="s">
        <v>4102</v>
      </c>
      <c r="H103" s="1"/>
      <c r="J103" s="1"/>
    </row>
    <row r="104" spans="1:10">
      <c r="A104" s="223">
        <v>16</v>
      </c>
      <c r="B104" s="213" t="s">
        <v>4184</v>
      </c>
      <c r="C104" s="1" t="s">
        <v>4185</v>
      </c>
      <c r="D104" s="13">
        <v>3698</v>
      </c>
      <c r="F104" s="213" t="s">
        <v>4102</v>
      </c>
      <c r="H104" s="1"/>
      <c r="J104" s="1"/>
    </row>
    <row r="105" spans="1:10">
      <c r="A105" s="223">
        <v>17</v>
      </c>
      <c r="B105" s="213" t="s">
        <v>4186</v>
      </c>
      <c r="C105" s="1" t="s">
        <v>4187</v>
      </c>
      <c r="D105" s="13">
        <v>6553</v>
      </c>
      <c r="F105" s="213" t="s">
        <v>4098</v>
      </c>
      <c r="H105" s="1"/>
      <c r="J105" s="1"/>
    </row>
    <row r="106" spans="1:10">
      <c r="A106" s="223">
        <v>18</v>
      </c>
      <c r="B106" s="213" t="s">
        <v>4188</v>
      </c>
      <c r="C106" s="1" t="s">
        <v>4189</v>
      </c>
      <c r="D106" s="13">
        <v>4288</v>
      </c>
      <c r="F106" s="213" t="s">
        <v>4098</v>
      </c>
      <c r="H106" s="1"/>
      <c r="J106" s="1"/>
    </row>
    <row r="107" spans="1:10">
      <c r="A107" s="223">
        <v>19</v>
      </c>
      <c r="B107" s="213" t="s">
        <v>4190</v>
      </c>
      <c r="C107" s="1" t="s">
        <v>4191</v>
      </c>
      <c r="D107" s="13">
        <v>4407</v>
      </c>
      <c r="F107" s="213" t="s">
        <v>4102</v>
      </c>
      <c r="H107" s="1"/>
      <c r="J107" s="1"/>
    </row>
    <row r="108" spans="1:10">
      <c r="A108" s="223">
        <v>20</v>
      </c>
      <c r="B108" s="213" t="s">
        <v>4192</v>
      </c>
      <c r="C108" s="1" t="s">
        <v>4193</v>
      </c>
      <c r="D108" s="13">
        <v>4187</v>
      </c>
      <c r="F108" s="213" t="s">
        <v>4098</v>
      </c>
      <c r="H108" s="1"/>
      <c r="J108" s="1"/>
    </row>
    <row r="109" spans="1:10">
      <c r="A109" s="223">
        <v>21</v>
      </c>
      <c r="B109" s="213" t="s">
        <v>4194</v>
      </c>
      <c r="C109" s="1" t="s">
        <v>4195</v>
      </c>
      <c r="D109" s="13">
        <v>2113</v>
      </c>
      <c r="F109" s="213" t="s">
        <v>4108</v>
      </c>
      <c r="H109" s="1"/>
      <c r="J109" s="1"/>
    </row>
    <row r="110" spans="1:10">
      <c r="A110" s="223">
        <v>22</v>
      </c>
      <c r="B110" s="213" t="s">
        <v>4196</v>
      </c>
      <c r="C110" s="1" t="s">
        <v>4197</v>
      </c>
      <c r="D110" s="13">
        <v>4172</v>
      </c>
      <c r="F110" s="213" t="s">
        <v>4098</v>
      </c>
      <c r="H110" s="1"/>
      <c r="J110" s="1"/>
    </row>
    <row r="111" spans="1:10">
      <c r="A111" s="223">
        <v>23</v>
      </c>
      <c r="B111" s="213" t="s">
        <v>4198</v>
      </c>
      <c r="C111" s="1" t="s">
        <v>4199</v>
      </c>
      <c r="D111" s="13">
        <v>1792</v>
      </c>
      <c r="F111" s="213" t="s">
        <v>4098</v>
      </c>
      <c r="H111" s="1"/>
      <c r="J111" s="1"/>
    </row>
    <row r="112" spans="1:10">
      <c r="D112" s="218"/>
    </row>
    <row r="113" spans="1:10">
      <c r="A113" s="213" t="s">
        <v>4200</v>
      </c>
      <c r="D113" s="216">
        <f>D89+D102+D105+D106+D108+D110+D111</f>
        <v>30776</v>
      </c>
    </row>
    <row r="114" spans="1:10">
      <c r="A114" s="213" t="s">
        <v>4149</v>
      </c>
      <c r="D114" s="216">
        <f>SUM(D91:D95)+SUM(D97:D101)+D103+D104+D107</f>
        <v>54057</v>
      </c>
    </row>
    <row r="115" spans="1:10">
      <c r="A115" s="213" t="s">
        <v>4201</v>
      </c>
      <c r="D115" s="216">
        <f>D90+D96+D109</f>
        <v>6007</v>
      </c>
    </row>
    <row r="116" spans="1:10">
      <c r="A116" s="213"/>
      <c r="B116" s="213"/>
      <c r="D116" s="216"/>
    </row>
    <row r="117" spans="1:10">
      <c r="A117" s="213" t="s">
        <v>4202</v>
      </c>
      <c r="B117" s="213"/>
      <c r="D117" s="216"/>
    </row>
    <row r="118" spans="1:10">
      <c r="A118" s="213" t="s">
        <v>4203</v>
      </c>
      <c r="B118" s="213"/>
      <c r="D118" s="216"/>
    </row>
    <row r="119" spans="1:10">
      <c r="A119" s="213"/>
      <c r="B119" s="213"/>
      <c r="D119" s="224"/>
    </row>
    <row r="120" spans="1:10">
      <c r="A120" s="213"/>
      <c r="B120" s="213"/>
      <c r="D120" s="224"/>
    </row>
    <row r="121" spans="1:10">
      <c r="D121" s="10" t="s">
        <v>285</v>
      </c>
      <c r="E121" s="16"/>
      <c r="F121" s="38" t="s">
        <v>4116</v>
      </c>
    </row>
    <row r="122" spans="1:10">
      <c r="D122" s="15">
        <v>2016</v>
      </c>
      <c r="E122" s="16"/>
      <c r="F122" s="18" t="s">
        <v>286</v>
      </c>
    </row>
    <row r="123" spans="1:10">
      <c r="A123" s="213" t="s">
        <v>4204</v>
      </c>
      <c r="D123" s="216">
        <f t="shared" ref="D123" si="27">SUM(D124:D143)</f>
        <v>56533</v>
      </c>
    </row>
    <row r="124" spans="1:10">
      <c r="A124" s="223">
        <v>1</v>
      </c>
      <c r="B124" s="213" t="s">
        <v>4205</v>
      </c>
      <c r="C124" s="1" t="s">
        <v>4206</v>
      </c>
      <c r="D124" s="7">
        <v>2452</v>
      </c>
      <c r="F124" s="213" t="s">
        <v>4105</v>
      </c>
      <c r="H124" s="1"/>
      <c r="J124" s="1"/>
    </row>
    <row r="125" spans="1:10">
      <c r="A125" s="223">
        <v>2</v>
      </c>
      <c r="B125" s="213" t="s">
        <v>4207</v>
      </c>
      <c r="C125" s="1" t="s">
        <v>4208</v>
      </c>
      <c r="D125" s="7">
        <v>3459</v>
      </c>
      <c r="F125" s="213" t="s">
        <v>4098</v>
      </c>
      <c r="H125" s="1"/>
      <c r="J125" s="1"/>
    </row>
    <row r="126" spans="1:10">
      <c r="A126" s="223">
        <v>3</v>
      </c>
      <c r="B126" s="213" t="s">
        <v>4209</v>
      </c>
      <c r="C126" s="1" t="s">
        <v>4210</v>
      </c>
      <c r="D126" s="7">
        <v>2889</v>
      </c>
      <c r="F126" s="213" t="s">
        <v>4105</v>
      </c>
      <c r="H126" s="1"/>
      <c r="J126" s="1"/>
    </row>
    <row r="127" spans="1:10">
      <c r="A127" s="223">
        <v>4</v>
      </c>
      <c r="B127" s="213" t="s">
        <v>4211</v>
      </c>
      <c r="C127" s="1" t="s">
        <v>4212</v>
      </c>
      <c r="D127" s="7">
        <v>2948</v>
      </c>
      <c r="F127" s="213" t="s">
        <v>4105</v>
      </c>
      <c r="H127" s="1"/>
      <c r="J127" s="1"/>
    </row>
    <row r="128" spans="1:10">
      <c r="A128" s="223">
        <v>5</v>
      </c>
      <c r="B128" s="213" t="s">
        <v>4213</v>
      </c>
      <c r="C128" s="1" t="s">
        <v>4214</v>
      </c>
      <c r="D128" s="7">
        <v>2819</v>
      </c>
      <c r="F128" s="213" t="s">
        <v>4105</v>
      </c>
      <c r="H128" s="1"/>
      <c r="J128" s="1"/>
    </row>
    <row r="129" spans="1:10">
      <c r="A129" s="223">
        <v>6</v>
      </c>
      <c r="B129" s="213" t="s">
        <v>4215</v>
      </c>
      <c r="C129" s="1" t="s">
        <v>4216</v>
      </c>
      <c r="D129" s="7">
        <v>2955</v>
      </c>
      <c r="F129" s="213" t="s">
        <v>4105</v>
      </c>
      <c r="H129" s="1"/>
      <c r="J129" s="1"/>
    </row>
    <row r="130" spans="1:10">
      <c r="A130" s="223">
        <v>7</v>
      </c>
      <c r="B130" s="213" t="s">
        <v>4217</v>
      </c>
      <c r="C130" s="1" t="s">
        <v>4218</v>
      </c>
      <c r="D130" s="7">
        <v>2958</v>
      </c>
      <c r="F130" s="213" t="s">
        <v>4105</v>
      </c>
      <c r="H130" s="1"/>
      <c r="J130" s="1"/>
    </row>
    <row r="131" spans="1:10">
      <c r="A131" s="223">
        <v>8</v>
      </c>
      <c r="B131" s="213" t="s">
        <v>4219</v>
      </c>
      <c r="C131" s="1" t="s">
        <v>4220</v>
      </c>
      <c r="D131" s="7">
        <v>4498</v>
      </c>
      <c r="F131" s="213" t="s">
        <v>4105</v>
      </c>
      <c r="H131" s="1"/>
      <c r="J131" s="1"/>
    </row>
    <row r="132" spans="1:10">
      <c r="A132" s="223">
        <v>9</v>
      </c>
      <c r="B132" s="213" t="s">
        <v>4221</v>
      </c>
      <c r="C132" s="1" t="s">
        <v>4222</v>
      </c>
      <c r="D132" s="7">
        <v>3254</v>
      </c>
      <c r="F132" s="213" t="s">
        <v>4098</v>
      </c>
      <c r="H132" s="1"/>
      <c r="J132" s="1"/>
    </row>
    <row r="133" spans="1:10">
      <c r="A133" s="223">
        <v>10</v>
      </c>
      <c r="B133" s="213" t="s">
        <v>4223</v>
      </c>
      <c r="C133" s="1" t="s">
        <v>4224</v>
      </c>
      <c r="D133" s="7">
        <v>2977</v>
      </c>
      <c r="F133" s="213" t="s">
        <v>4105</v>
      </c>
      <c r="H133" s="1"/>
      <c r="J133" s="1"/>
    </row>
    <row r="134" spans="1:10">
      <c r="A134" s="223">
        <v>11</v>
      </c>
      <c r="B134" s="213" t="s">
        <v>4225</v>
      </c>
      <c r="C134" s="1" t="s">
        <v>4226</v>
      </c>
      <c r="D134" s="7">
        <v>3100</v>
      </c>
      <c r="F134" s="213" t="s">
        <v>4105</v>
      </c>
      <c r="H134" s="1"/>
      <c r="J134" s="1"/>
    </row>
    <row r="135" spans="1:10">
      <c r="A135" s="223">
        <v>12</v>
      </c>
      <c r="B135" s="213" t="s">
        <v>4227</v>
      </c>
      <c r="C135" s="1" t="s">
        <v>4228</v>
      </c>
      <c r="D135" s="7">
        <v>999</v>
      </c>
      <c r="F135" s="213" t="s">
        <v>4105</v>
      </c>
      <c r="H135" s="1"/>
      <c r="J135" s="1"/>
    </row>
    <row r="136" spans="1:10">
      <c r="A136" s="223">
        <v>13</v>
      </c>
      <c r="B136" s="213" t="s">
        <v>4229</v>
      </c>
      <c r="C136" s="1" t="s">
        <v>4230</v>
      </c>
      <c r="D136" s="7">
        <v>1609</v>
      </c>
      <c r="F136" s="213" t="s">
        <v>4105</v>
      </c>
      <c r="H136" s="1"/>
      <c r="J136" s="1"/>
    </row>
    <row r="137" spans="1:10">
      <c r="A137" s="223">
        <v>14</v>
      </c>
      <c r="B137" s="213" t="s">
        <v>4231</v>
      </c>
      <c r="C137" s="1" t="s">
        <v>4232</v>
      </c>
      <c r="D137" s="7">
        <v>1592</v>
      </c>
      <c r="F137" s="213" t="s">
        <v>4105</v>
      </c>
      <c r="H137" s="1"/>
      <c r="J137" s="1"/>
    </row>
    <row r="138" spans="1:10">
      <c r="A138" s="223">
        <v>15</v>
      </c>
      <c r="B138" s="213" t="s">
        <v>4233</v>
      </c>
      <c r="C138" s="1" t="s">
        <v>4234</v>
      </c>
      <c r="D138" s="7">
        <v>1403</v>
      </c>
      <c r="F138" s="213" t="s">
        <v>4105</v>
      </c>
      <c r="H138" s="1"/>
      <c r="J138" s="1"/>
    </row>
    <row r="139" spans="1:10">
      <c r="A139" s="223">
        <v>16</v>
      </c>
      <c r="B139" s="213" t="s">
        <v>4235</v>
      </c>
      <c r="C139" s="1" t="s">
        <v>4236</v>
      </c>
      <c r="D139" s="8">
        <v>1831</v>
      </c>
      <c r="F139" s="213" t="s">
        <v>4105</v>
      </c>
      <c r="H139" s="1"/>
      <c r="J139" s="1"/>
    </row>
    <row r="140" spans="1:10">
      <c r="A140" s="223">
        <v>17</v>
      </c>
      <c r="B140" s="213" t="s">
        <v>4237</v>
      </c>
      <c r="C140" s="1" t="s">
        <v>4238</v>
      </c>
      <c r="D140" s="8">
        <v>3370</v>
      </c>
      <c r="F140" s="213" t="s">
        <v>4098</v>
      </c>
      <c r="H140" s="1"/>
      <c r="J140" s="1"/>
    </row>
    <row r="141" spans="1:10">
      <c r="A141" s="223">
        <v>18</v>
      </c>
      <c r="B141" s="213" t="s">
        <v>4239</v>
      </c>
      <c r="C141" s="1" t="s">
        <v>4240</v>
      </c>
      <c r="D141" s="8">
        <v>4618</v>
      </c>
      <c r="F141" s="213" t="s">
        <v>4098</v>
      </c>
      <c r="H141" s="1"/>
      <c r="J141" s="1"/>
    </row>
    <row r="142" spans="1:10">
      <c r="A142" s="223">
        <v>19</v>
      </c>
      <c r="B142" s="213" t="s">
        <v>4241</v>
      </c>
      <c r="C142" s="1" t="s">
        <v>4242</v>
      </c>
      <c r="D142" s="8">
        <v>3806</v>
      </c>
      <c r="F142" s="213" t="s">
        <v>4105</v>
      </c>
      <c r="H142" s="1"/>
      <c r="J142" s="1"/>
    </row>
    <row r="143" spans="1:10">
      <c r="A143" s="223">
        <v>20</v>
      </c>
      <c r="B143" s="213" t="s">
        <v>4243</v>
      </c>
      <c r="C143" s="1" t="s">
        <v>4244</v>
      </c>
      <c r="D143" s="8">
        <v>2996</v>
      </c>
      <c r="F143" s="213" t="s">
        <v>4105</v>
      </c>
      <c r="H143" s="1"/>
      <c r="J143" s="1"/>
    </row>
    <row r="144" spans="1:10">
      <c r="D144" s="218"/>
    </row>
    <row r="145" spans="1:10">
      <c r="A145" s="213" t="s">
        <v>4200</v>
      </c>
      <c r="D145" s="216">
        <f>D125+D132+D140+D141</f>
        <v>14701</v>
      </c>
    </row>
    <row r="146" spans="1:10">
      <c r="A146" s="213" t="s">
        <v>4245</v>
      </c>
      <c r="D146" s="216">
        <f>D124+SUM(D126:D131)+SUM(D133:D139)+D142+D143</f>
        <v>41832</v>
      </c>
    </row>
    <row r="147" spans="1:10">
      <c r="A147" s="213"/>
      <c r="B147" s="213"/>
      <c r="D147" s="216"/>
    </row>
    <row r="148" spans="1:10">
      <c r="A148" s="213" t="s">
        <v>4246</v>
      </c>
      <c r="B148" s="213"/>
      <c r="D148" s="216"/>
    </row>
    <row r="149" spans="1:10">
      <c r="A149" s="213" t="s">
        <v>4247</v>
      </c>
      <c r="B149" s="213"/>
      <c r="D149" s="216"/>
    </row>
    <row r="150" spans="1:10">
      <c r="A150" s="213"/>
      <c r="B150" s="213"/>
      <c r="D150" s="224"/>
    </row>
    <row r="151" spans="1:10">
      <c r="A151" s="213"/>
      <c r="B151" s="213"/>
      <c r="D151" s="224"/>
    </row>
    <row r="152" spans="1:10">
      <c r="D152" s="10" t="s">
        <v>285</v>
      </c>
      <c r="E152" s="16"/>
      <c r="F152" s="38" t="s">
        <v>4116</v>
      </c>
    </row>
    <row r="153" spans="1:10">
      <c r="D153" s="15">
        <v>2016</v>
      </c>
      <c r="E153" s="16"/>
      <c r="F153" s="18" t="s">
        <v>286</v>
      </c>
    </row>
    <row r="154" spans="1:10">
      <c r="A154" s="213" t="s">
        <v>4248</v>
      </c>
      <c r="D154" s="216">
        <f t="shared" ref="D154" si="28">SUM(D155:D173)</f>
        <v>79028</v>
      </c>
    </row>
    <row r="155" spans="1:10">
      <c r="A155" s="223">
        <v>1</v>
      </c>
      <c r="B155" s="213" t="s">
        <v>4249</v>
      </c>
      <c r="C155" s="1" t="s">
        <v>4250</v>
      </c>
      <c r="D155" s="8">
        <v>4378</v>
      </c>
      <c r="F155" s="213" t="s">
        <v>4107</v>
      </c>
      <c r="H155" s="1"/>
      <c r="J155" s="1"/>
    </row>
    <row r="156" spans="1:10">
      <c r="A156" s="223">
        <v>2</v>
      </c>
      <c r="B156" s="213" t="s">
        <v>4251</v>
      </c>
      <c r="C156" s="1" t="s">
        <v>4252</v>
      </c>
      <c r="D156" s="7">
        <v>2956</v>
      </c>
      <c r="F156" s="213" t="s">
        <v>4107</v>
      </c>
      <c r="H156" s="1"/>
      <c r="J156" s="1"/>
    </row>
    <row r="157" spans="1:10">
      <c r="A157" s="223">
        <v>3</v>
      </c>
      <c r="B157" s="213" t="s">
        <v>4253</v>
      </c>
      <c r="C157" s="1" t="s">
        <v>4254</v>
      </c>
      <c r="D157" s="7">
        <v>4827</v>
      </c>
      <c r="F157" s="213" t="s">
        <v>4107</v>
      </c>
      <c r="H157" s="1"/>
      <c r="J157" s="1"/>
    </row>
    <row r="158" spans="1:10">
      <c r="A158" s="223">
        <v>4</v>
      </c>
      <c r="B158" s="213" t="s">
        <v>4255</v>
      </c>
      <c r="C158" s="1" t="s">
        <v>4256</v>
      </c>
      <c r="D158" s="7">
        <v>4936</v>
      </c>
      <c r="F158" s="213" t="s">
        <v>4107</v>
      </c>
      <c r="H158" s="1"/>
      <c r="J158" s="1"/>
    </row>
    <row r="159" spans="1:10">
      <c r="A159" s="223">
        <v>5</v>
      </c>
      <c r="B159" s="213" t="s">
        <v>4257</v>
      </c>
      <c r="C159" s="1" t="s">
        <v>4258</v>
      </c>
      <c r="D159" s="7">
        <v>4664</v>
      </c>
      <c r="F159" s="213" t="s">
        <v>4107</v>
      </c>
      <c r="H159" s="1"/>
      <c r="J159" s="1"/>
    </row>
    <row r="160" spans="1:10">
      <c r="A160" s="223">
        <v>6</v>
      </c>
      <c r="B160" s="213" t="s">
        <v>4259</v>
      </c>
      <c r="C160" s="1" t="s">
        <v>4260</v>
      </c>
      <c r="D160" s="7">
        <v>5004</v>
      </c>
      <c r="F160" s="213" t="s">
        <v>4107</v>
      </c>
      <c r="H160" s="1"/>
      <c r="J160" s="1"/>
    </row>
    <row r="161" spans="1:10">
      <c r="A161" s="223">
        <v>7</v>
      </c>
      <c r="B161" s="213" t="s">
        <v>4261</v>
      </c>
      <c r="C161" s="1" t="s">
        <v>4262</v>
      </c>
      <c r="D161" s="7">
        <v>5885</v>
      </c>
      <c r="F161" s="213" t="s">
        <v>4107</v>
      </c>
      <c r="H161" s="1"/>
      <c r="J161" s="1"/>
    </row>
    <row r="162" spans="1:10">
      <c r="A162" s="223">
        <v>8</v>
      </c>
      <c r="B162" s="213" t="s">
        <v>4263</v>
      </c>
      <c r="C162" s="1" t="s">
        <v>4264</v>
      </c>
      <c r="D162" s="7">
        <v>3142</v>
      </c>
      <c r="F162" s="213" t="s">
        <v>4107</v>
      </c>
      <c r="H162" s="1"/>
      <c r="J162" s="1"/>
    </row>
    <row r="163" spans="1:10">
      <c r="A163" s="223">
        <v>9</v>
      </c>
      <c r="B163" s="213" t="s">
        <v>4265</v>
      </c>
      <c r="C163" s="1" t="s">
        <v>4266</v>
      </c>
      <c r="D163" s="7">
        <v>3255</v>
      </c>
      <c r="F163" s="213" t="s">
        <v>4107</v>
      </c>
      <c r="H163" s="1"/>
      <c r="J163" s="1"/>
    </row>
    <row r="164" spans="1:10">
      <c r="A164" s="223">
        <v>10</v>
      </c>
      <c r="B164" s="213" t="s">
        <v>4267</v>
      </c>
      <c r="C164" s="1" t="s">
        <v>4268</v>
      </c>
      <c r="D164" s="7">
        <v>2963</v>
      </c>
      <c r="F164" s="213" t="s">
        <v>4107</v>
      </c>
      <c r="H164" s="1"/>
      <c r="J164" s="1"/>
    </row>
    <row r="165" spans="1:10">
      <c r="A165" s="223">
        <v>11</v>
      </c>
      <c r="B165" s="213" t="s">
        <v>4269</v>
      </c>
      <c r="C165" s="1" t="s">
        <v>4270</v>
      </c>
      <c r="D165" s="8">
        <v>3353</v>
      </c>
      <c r="F165" s="213" t="s">
        <v>4105</v>
      </c>
      <c r="H165" s="1"/>
      <c r="J165" s="1"/>
    </row>
    <row r="166" spans="1:10">
      <c r="A166" s="223">
        <v>12</v>
      </c>
      <c r="B166" s="213" t="s">
        <v>4271</v>
      </c>
      <c r="C166" s="1" t="s">
        <v>4272</v>
      </c>
      <c r="D166" s="7">
        <v>3433</v>
      </c>
      <c r="F166" s="213" t="s">
        <v>4107</v>
      </c>
      <c r="H166" s="1"/>
      <c r="J166" s="1"/>
    </row>
    <row r="167" spans="1:10">
      <c r="A167" s="223">
        <v>13</v>
      </c>
      <c r="B167" s="213" t="s">
        <v>661</v>
      </c>
      <c r="C167" s="1" t="s">
        <v>4273</v>
      </c>
      <c r="D167" s="7">
        <v>3234</v>
      </c>
      <c r="F167" s="213" t="s">
        <v>4107</v>
      </c>
      <c r="H167" s="1"/>
      <c r="J167" s="1"/>
    </row>
    <row r="168" spans="1:10">
      <c r="A168" s="223">
        <v>14</v>
      </c>
      <c r="B168" s="213" t="s">
        <v>4274</v>
      </c>
      <c r="C168" s="1" t="s">
        <v>4275</v>
      </c>
      <c r="D168" s="7">
        <v>3133</v>
      </c>
      <c r="F168" s="213" t="s">
        <v>4107</v>
      </c>
      <c r="H168" s="1"/>
      <c r="J168" s="1"/>
    </row>
    <row r="169" spans="1:10">
      <c r="A169" s="223">
        <v>15</v>
      </c>
      <c r="B169" s="213" t="s">
        <v>4276</v>
      </c>
      <c r="C169" s="1" t="s">
        <v>4277</v>
      </c>
      <c r="D169" s="7">
        <v>4656</v>
      </c>
      <c r="F169" s="213" t="s">
        <v>4107</v>
      </c>
      <c r="H169" s="1"/>
      <c r="J169" s="1"/>
    </row>
    <row r="170" spans="1:10">
      <c r="A170" s="223">
        <v>16</v>
      </c>
      <c r="B170" s="213" t="s">
        <v>4278</v>
      </c>
      <c r="C170" s="1" t="s">
        <v>4279</v>
      </c>
      <c r="D170" s="7">
        <v>3440</v>
      </c>
      <c r="F170" s="213" t="s">
        <v>4107</v>
      </c>
      <c r="H170" s="1"/>
      <c r="J170" s="1"/>
    </row>
    <row r="171" spans="1:10">
      <c r="A171" s="223">
        <v>17</v>
      </c>
      <c r="B171" s="213" t="s">
        <v>662</v>
      </c>
      <c r="C171" s="1" t="s">
        <v>4280</v>
      </c>
      <c r="D171" s="7">
        <v>6011</v>
      </c>
      <c r="F171" s="213" t="s">
        <v>4107</v>
      </c>
      <c r="H171" s="1"/>
      <c r="J171" s="1"/>
    </row>
    <row r="172" spans="1:10">
      <c r="A172" s="223">
        <v>18</v>
      </c>
      <c r="B172" s="213" t="s">
        <v>3066</v>
      </c>
      <c r="C172" s="1" t="s">
        <v>4281</v>
      </c>
      <c r="D172" s="8">
        <v>4720</v>
      </c>
      <c r="F172" s="213" t="s">
        <v>4107</v>
      </c>
      <c r="H172" s="1"/>
      <c r="J172" s="1"/>
    </row>
    <row r="173" spans="1:10">
      <c r="A173" s="223">
        <v>19</v>
      </c>
      <c r="B173" s="213" t="s">
        <v>3880</v>
      </c>
      <c r="C173" s="1" t="s">
        <v>4282</v>
      </c>
      <c r="D173" s="8">
        <v>5038</v>
      </c>
      <c r="F173" s="213" t="s">
        <v>4107</v>
      </c>
      <c r="H173" s="1"/>
      <c r="J173" s="1"/>
    </row>
    <row r="174" spans="1:10">
      <c r="D174" s="218"/>
    </row>
    <row r="175" spans="1:10">
      <c r="A175" s="213" t="s">
        <v>4245</v>
      </c>
      <c r="D175" s="218">
        <f>D165</f>
        <v>3353</v>
      </c>
    </row>
    <row r="176" spans="1:10">
      <c r="A176" s="213" t="s">
        <v>4107</v>
      </c>
      <c r="D176" s="216">
        <f>SUM(D155:D164)+SUM(D166:D173)</f>
        <v>75675</v>
      </c>
    </row>
    <row r="177" spans="1:10">
      <c r="A177" s="213"/>
      <c r="B177" s="213"/>
      <c r="D177" s="216"/>
    </row>
    <row r="178" spans="1:10">
      <c r="A178" s="213" t="s">
        <v>4283</v>
      </c>
      <c r="B178" s="213"/>
      <c r="D178" s="216"/>
    </row>
    <row r="179" spans="1:10">
      <c r="A179" s="213"/>
      <c r="B179" s="213"/>
      <c r="D179" s="224"/>
    </row>
    <row r="180" spans="1:10">
      <c r="A180" s="213"/>
      <c r="B180" s="213"/>
      <c r="D180" s="224"/>
    </row>
    <row r="181" spans="1:10">
      <c r="D181" s="10" t="s">
        <v>285</v>
      </c>
      <c r="E181" s="16"/>
      <c r="F181" s="38" t="s">
        <v>4116</v>
      </c>
    </row>
    <row r="182" spans="1:10">
      <c r="D182" s="15">
        <v>2016</v>
      </c>
      <c r="E182" s="16"/>
      <c r="F182" s="18" t="s">
        <v>286</v>
      </c>
    </row>
    <row r="183" spans="1:10">
      <c r="A183" s="213" t="s">
        <v>4284</v>
      </c>
      <c r="D183" s="216">
        <f t="shared" ref="D183" si="29">SUM(D184:D187)+SUM(D188:D197)+SUM(D198:D200)+SUM(D201:D208)</f>
        <v>54902</v>
      </c>
    </row>
    <row r="184" spans="1:10">
      <c r="A184" s="223">
        <v>1</v>
      </c>
      <c r="B184" s="213" t="s">
        <v>4285</v>
      </c>
      <c r="C184" s="1" t="s">
        <v>4286</v>
      </c>
      <c r="D184" s="13">
        <v>2880</v>
      </c>
      <c r="F184" s="213" t="s">
        <v>4108</v>
      </c>
      <c r="H184" s="1"/>
      <c r="J184" s="1"/>
    </row>
    <row r="185" spans="1:10">
      <c r="A185" s="223">
        <v>2</v>
      </c>
      <c r="B185" s="213" t="s">
        <v>4287</v>
      </c>
      <c r="C185" s="1" t="s">
        <v>4288</v>
      </c>
      <c r="D185" s="13">
        <v>3486</v>
      </c>
      <c r="F185" s="213" t="s">
        <v>4108</v>
      </c>
      <c r="H185" s="1"/>
      <c r="J185" s="1"/>
    </row>
    <row r="186" spans="1:10">
      <c r="A186" s="223">
        <v>3</v>
      </c>
      <c r="B186" s="213" t="s">
        <v>4289</v>
      </c>
      <c r="C186" s="1" t="s">
        <v>4290</v>
      </c>
      <c r="D186" s="13">
        <v>3650</v>
      </c>
      <c r="F186" s="213" t="s">
        <v>4108</v>
      </c>
      <c r="H186" s="1"/>
      <c r="J186" s="1"/>
    </row>
    <row r="187" spans="1:10">
      <c r="A187" s="223">
        <v>4</v>
      </c>
      <c r="B187" s="213" t="s">
        <v>2927</v>
      </c>
      <c r="C187" s="1" t="s">
        <v>4291</v>
      </c>
      <c r="D187" s="13">
        <v>1467</v>
      </c>
      <c r="F187" s="213" t="s">
        <v>4108</v>
      </c>
      <c r="H187" s="1"/>
      <c r="J187" s="1"/>
    </row>
    <row r="188" spans="1:10">
      <c r="A188" s="223">
        <v>5</v>
      </c>
      <c r="B188" s="213" t="s">
        <v>4292</v>
      </c>
      <c r="C188" s="1" t="s">
        <v>4293</v>
      </c>
      <c r="D188" s="13">
        <v>1328</v>
      </c>
      <c r="F188" s="213" t="s">
        <v>4108</v>
      </c>
      <c r="H188" s="1"/>
      <c r="J188" s="1"/>
    </row>
    <row r="189" spans="1:10">
      <c r="A189" s="223">
        <v>6</v>
      </c>
      <c r="B189" s="213" t="s">
        <v>4294</v>
      </c>
      <c r="C189" s="1" t="s">
        <v>4295</v>
      </c>
      <c r="D189" s="13">
        <v>1488</v>
      </c>
      <c r="F189" s="213" t="s">
        <v>4108</v>
      </c>
      <c r="H189" s="1"/>
      <c r="J189" s="1"/>
    </row>
    <row r="190" spans="1:10">
      <c r="A190" s="223">
        <v>7</v>
      </c>
      <c r="B190" s="213" t="s">
        <v>4296</v>
      </c>
      <c r="C190" s="1" t="s">
        <v>4297</v>
      </c>
      <c r="D190" s="13">
        <v>1491</v>
      </c>
      <c r="F190" s="213" t="s">
        <v>4108</v>
      </c>
      <c r="H190" s="1"/>
      <c r="J190" s="1"/>
    </row>
    <row r="191" spans="1:10">
      <c r="A191" s="223">
        <v>8</v>
      </c>
      <c r="B191" s="213" t="s">
        <v>4298</v>
      </c>
      <c r="C191" s="1" t="s">
        <v>4299</v>
      </c>
      <c r="D191" s="13">
        <v>1324</v>
      </c>
      <c r="F191" s="213" t="s">
        <v>4108</v>
      </c>
      <c r="H191" s="1"/>
      <c r="J191" s="1"/>
    </row>
    <row r="192" spans="1:10">
      <c r="A192" s="223">
        <v>9</v>
      </c>
      <c r="B192" s="213" t="s">
        <v>4300</v>
      </c>
      <c r="C192" s="1" t="s">
        <v>4301</v>
      </c>
      <c r="D192" s="13">
        <v>1441</v>
      </c>
      <c r="F192" s="213" t="s">
        <v>4108</v>
      </c>
      <c r="H192" s="1"/>
      <c r="J192" s="1"/>
    </row>
    <row r="193" spans="1:10">
      <c r="A193" s="223">
        <v>10</v>
      </c>
      <c r="B193" s="213" t="s">
        <v>4302</v>
      </c>
      <c r="C193" s="1" t="s">
        <v>4303</v>
      </c>
      <c r="D193" s="13">
        <v>4448</v>
      </c>
      <c r="F193" s="213" t="s">
        <v>4108</v>
      </c>
      <c r="H193" s="1"/>
      <c r="J193" s="1"/>
    </row>
    <row r="194" spans="1:10">
      <c r="A194" s="223">
        <v>11</v>
      </c>
      <c r="B194" s="213" t="s">
        <v>4304</v>
      </c>
      <c r="C194" s="1" t="s">
        <v>4305</v>
      </c>
      <c r="D194" s="13">
        <v>1321</v>
      </c>
      <c r="F194" s="213" t="s">
        <v>4108</v>
      </c>
      <c r="H194" s="1"/>
      <c r="J194" s="1"/>
    </row>
    <row r="195" spans="1:10">
      <c r="A195" s="223">
        <v>12</v>
      </c>
      <c r="B195" s="213" t="s">
        <v>4306</v>
      </c>
      <c r="C195" s="1" t="s">
        <v>4307</v>
      </c>
      <c r="D195" s="13">
        <v>1528</v>
      </c>
      <c r="F195" s="213" t="s">
        <v>4108</v>
      </c>
      <c r="H195" s="1"/>
      <c r="J195" s="1"/>
    </row>
    <row r="196" spans="1:10">
      <c r="A196" s="223">
        <v>13</v>
      </c>
      <c r="B196" s="213" t="s">
        <v>4308</v>
      </c>
      <c r="C196" s="1" t="s">
        <v>4309</v>
      </c>
      <c r="D196" s="13">
        <v>1357</v>
      </c>
      <c r="F196" s="213" t="s">
        <v>4108</v>
      </c>
      <c r="H196" s="1"/>
      <c r="J196" s="1"/>
    </row>
    <row r="197" spans="1:10">
      <c r="A197" s="223">
        <v>14</v>
      </c>
      <c r="B197" s="213" t="s">
        <v>4310</v>
      </c>
      <c r="C197" s="1" t="s">
        <v>4311</v>
      </c>
      <c r="D197" s="13">
        <v>2994</v>
      </c>
      <c r="F197" s="213" t="s">
        <v>4108</v>
      </c>
      <c r="H197" s="1"/>
      <c r="J197" s="1"/>
    </row>
    <row r="198" spans="1:10">
      <c r="A198" s="223">
        <v>15</v>
      </c>
      <c r="B198" s="213" t="s">
        <v>4312</v>
      </c>
      <c r="C198" s="1" t="s">
        <v>4313</v>
      </c>
      <c r="D198" s="13">
        <v>1483</v>
      </c>
      <c r="F198" s="213" t="s">
        <v>4108</v>
      </c>
      <c r="H198" s="1"/>
      <c r="J198" s="1"/>
    </row>
    <row r="199" spans="1:10">
      <c r="A199" s="223">
        <v>16</v>
      </c>
      <c r="B199" s="213" t="s">
        <v>4314</v>
      </c>
      <c r="C199" s="1" t="s">
        <v>4315</v>
      </c>
      <c r="D199" s="13">
        <v>1246</v>
      </c>
      <c r="F199" s="213" t="s">
        <v>4108</v>
      </c>
      <c r="H199" s="1"/>
      <c r="J199" s="1"/>
    </row>
    <row r="200" spans="1:10">
      <c r="A200" s="223">
        <v>17</v>
      </c>
      <c r="B200" s="213" t="s">
        <v>4316</v>
      </c>
      <c r="C200" s="1" t="s">
        <v>4317</v>
      </c>
      <c r="D200" s="13">
        <v>1325</v>
      </c>
      <c r="F200" s="213" t="s">
        <v>4108</v>
      </c>
      <c r="H200" s="1"/>
      <c r="J200" s="1"/>
    </row>
    <row r="201" spans="1:10">
      <c r="A201" s="223">
        <v>18</v>
      </c>
      <c r="B201" s="213" t="s">
        <v>4318</v>
      </c>
      <c r="C201" s="1" t="s">
        <v>4319</v>
      </c>
      <c r="D201" s="13">
        <v>2332</v>
      </c>
      <c r="F201" s="213" t="s">
        <v>4108</v>
      </c>
      <c r="H201" s="1"/>
      <c r="J201" s="1"/>
    </row>
    <row r="202" spans="1:10">
      <c r="A202" s="223">
        <v>19</v>
      </c>
      <c r="B202" s="213" t="s">
        <v>4320</v>
      </c>
      <c r="C202" s="1" t="s">
        <v>4321</v>
      </c>
      <c r="D202" s="13">
        <v>4189</v>
      </c>
      <c r="F202" s="213" t="s">
        <v>4108</v>
      </c>
      <c r="H202" s="1"/>
      <c r="J202" s="1"/>
    </row>
    <row r="203" spans="1:10">
      <c r="A203" s="223">
        <v>20</v>
      </c>
      <c r="B203" s="213" t="s">
        <v>4322</v>
      </c>
      <c r="C203" s="1" t="s">
        <v>4323</v>
      </c>
      <c r="D203" s="13">
        <v>4144</v>
      </c>
      <c r="F203" s="213" t="s">
        <v>4108</v>
      </c>
      <c r="H203" s="1"/>
      <c r="J203" s="1"/>
    </row>
    <row r="204" spans="1:10">
      <c r="A204" s="223">
        <v>21</v>
      </c>
      <c r="B204" s="213" t="s">
        <v>4324</v>
      </c>
      <c r="C204" s="1" t="s">
        <v>4325</v>
      </c>
      <c r="D204" s="13">
        <v>1357</v>
      </c>
      <c r="F204" s="213" t="s">
        <v>4108</v>
      </c>
      <c r="H204" s="1"/>
      <c r="J204" s="1"/>
    </row>
    <row r="205" spans="1:10">
      <c r="A205" s="223">
        <v>22</v>
      </c>
      <c r="B205" s="213" t="s">
        <v>4326</v>
      </c>
      <c r="C205" s="1" t="s">
        <v>4327</v>
      </c>
      <c r="D205" s="13">
        <v>1405</v>
      </c>
      <c r="F205" s="213" t="s">
        <v>4108</v>
      </c>
      <c r="H205" s="1"/>
      <c r="J205" s="1"/>
    </row>
    <row r="206" spans="1:10">
      <c r="A206" s="223">
        <v>23</v>
      </c>
      <c r="B206" s="213" t="s">
        <v>4328</v>
      </c>
      <c r="C206" s="1" t="s">
        <v>4329</v>
      </c>
      <c r="D206" s="13">
        <v>1354</v>
      </c>
      <c r="F206" s="213" t="s">
        <v>4108</v>
      </c>
      <c r="H206" s="1"/>
      <c r="J206" s="1"/>
    </row>
    <row r="207" spans="1:10">
      <c r="A207" s="223">
        <v>24</v>
      </c>
      <c r="B207" s="213" t="s">
        <v>4330</v>
      </c>
      <c r="C207" s="1" t="s">
        <v>4331</v>
      </c>
      <c r="D207" s="13">
        <v>1371</v>
      </c>
      <c r="F207" s="213" t="s">
        <v>4108</v>
      </c>
      <c r="H207" s="1"/>
      <c r="J207" s="1"/>
    </row>
    <row r="208" spans="1:10">
      <c r="A208" s="223">
        <v>25</v>
      </c>
      <c r="B208" s="213" t="s">
        <v>4332</v>
      </c>
      <c r="C208" s="1" t="s">
        <v>4333</v>
      </c>
      <c r="D208" s="13">
        <v>4493</v>
      </c>
      <c r="F208" s="213" t="s">
        <v>4108</v>
      </c>
      <c r="H208" s="1"/>
      <c r="J208" s="1"/>
    </row>
    <row r="209" spans="1:10">
      <c r="D209" s="218"/>
    </row>
    <row r="210" spans="1:10">
      <c r="A210" s="213" t="s">
        <v>4201</v>
      </c>
      <c r="D210" s="216">
        <f t="shared" ref="D210" si="30">SUM(D184:D208)</f>
        <v>54902</v>
      </c>
    </row>
    <row r="211" spans="1:10">
      <c r="A211" s="213"/>
      <c r="B211" s="213"/>
      <c r="D211" s="216"/>
    </row>
    <row r="212" spans="1:10">
      <c r="A212" s="213" t="s">
        <v>4334</v>
      </c>
      <c r="B212" s="213"/>
      <c r="D212" s="216"/>
    </row>
    <row r="213" spans="1:10">
      <c r="A213" s="213"/>
      <c r="B213" s="213"/>
      <c r="D213" s="224"/>
    </row>
    <row r="214" spans="1:10">
      <c r="A214" s="213"/>
      <c r="B214" s="213"/>
      <c r="D214" s="224"/>
    </row>
    <row r="215" spans="1:10">
      <c r="D215" s="10" t="s">
        <v>285</v>
      </c>
      <c r="E215" s="16"/>
      <c r="F215" s="38" t="s">
        <v>4116</v>
      </c>
    </row>
    <row r="216" spans="1:10">
      <c r="D216" s="15">
        <v>2016</v>
      </c>
      <c r="E216" s="16"/>
      <c r="F216" s="18" t="s">
        <v>286</v>
      </c>
    </row>
    <row r="217" spans="1:10">
      <c r="A217" s="213" t="s">
        <v>4335</v>
      </c>
      <c r="D217" s="216">
        <f t="shared" ref="D217" si="31">SUM(D218:D236)</f>
        <v>84625</v>
      </c>
    </row>
    <row r="218" spans="1:10">
      <c r="A218" s="223">
        <v>1</v>
      </c>
      <c r="B218" s="213" t="s">
        <v>4336</v>
      </c>
      <c r="C218" s="1" t="s">
        <v>4337</v>
      </c>
      <c r="D218" s="13">
        <v>3431</v>
      </c>
      <c r="F218" s="213" t="s">
        <v>4112</v>
      </c>
      <c r="H218" s="1"/>
      <c r="J218" s="1"/>
    </row>
    <row r="219" spans="1:10">
      <c r="A219" s="223">
        <v>2</v>
      </c>
      <c r="B219" s="213" t="s">
        <v>4338</v>
      </c>
      <c r="C219" s="1" t="s">
        <v>4339</v>
      </c>
      <c r="D219" s="13">
        <v>3706</v>
      </c>
      <c r="F219" s="213" t="s">
        <v>4112</v>
      </c>
      <c r="H219" s="1"/>
      <c r="J219" s="1"/>
    </row>
    <row r="220" spans="1:10">
      <c r="A220" s="223">
        <v>3</v>
      </c>
      <c r="B220" s="213" t="s">
        <v>4340</v>
      </c>
      <c r="C220" s="1" t="s">
        <v>4341</v>
      </c>
      <c r="D220" s="13">
        <v>3531</v>
      </c>
      <c r="F220" s="213" t="s">
        <v>4112</v>
      </c>
      <c r="H220" s="1"/>
      <c r="J220" s="1"/>
    </row>
    <row r="221" spans="1:10">
      <c r="A221" s="223">
        <v>4</v>
      </c>
      <c r="B221" s="213" t="s">
        <v>4342</v>
      </c>
      <c r="C221" s="1" t="s">
        <v>4343</v>
      </c>
      <c r="D221" s="13">
        <v>3587</v>
      </c>
      <c r="F221" s="213" t="s">
        <v>4112</v>
      </c>
      <c r="H221" s="1"/>
      <c r="J221" s="1"/>
    </row>
    <row r="222" spans="1:10">
      <c r="A222" s="223">
        <v>5</v>
      </c>
      <c r="B222" s="213" t="s">
        <v>4344</v>
      </c>
      <c r="C222" s="1" t="s">
        <v>4345</v>
      </c>
      <c r="D222" s="13">
        <v>5583</v>
      </c>
      <c r="F222" s="213" t="s">
        <v>4112</v>
      </c>
      <c r="H222" s="1"/>
      <c r="J222" s="1"/>
    </row>
    <row r="223" spans="1:10">
      <c r="A223" s="223">
        <v>6</v>
      </c>
      <c r="B223" s="213" t="s">
        <v>4346</v>
      </c>
      <c r="C223" s="1" t="s">
        <v>4347</v>
      </c>
      <c r="D223" s="13">
        <v>3232</v>
      </c>
      <c r="F223" s="213" t="s">
        <v>4112</v>
      </c>
      <c r="H223" s="1"/>
      <c r="J223" s="1"/>
    </row>
    <row r="224" spans="1:10">
      <c r="A224" s="223">
        <v>7</v>
      </c>
      <c r="B224" s="213" t="s">
        <v>4348</v>
      </c>
      <c r="C224" s="1" t="s">
        <v>4349</v>
      </c>
      <c r="D224" s="13">
        <v>3502</v>
      </c>
      <c r="F224" s="213" t="s">
        <v>4112</v>
      </c>
      <c r="H224" s="1"/>
      <c r="J224" s="1"/>
    </row>
    <row r="225" spans="1:10">
      <c r="A225" s="223">
        <v>8</v>
      </c>
      <c r="B225" s="213" t="s">
        <v>4350</v>
      </c>
      <c r="C225" s="1" t="s">
        <v>4351</v>
      </c>
      <c r="D225" s="13">
        <v>4975</v>
      </c>
      <c r="F225" s="213" t="s">
        <v>4112</v>
      </c>
      <c r="H225" s="1"/>
      <c r="J225" s="1"/>
    </row>
    <row r="226" spans="1:10">
      <c r="A226" s="223">
        <v>9</v>
      </c>
      <c r="B226" s="213" t="s">
        <v>4352</v>
      </c>
      <c r="C226" s="1" t="s">
        <v>4353</v>
      </c>
      <c r="D226" s="13">
        <v>5867</v>
      </c>
      <c r="F226" s="213" t="s">
        <v>4112</v>
      </c>
      <c r="H226" s="1"/>
      <c r="J226" s="1"/>
    </row>
    <row r="227" spans="1:10">
      <c r="A227" s="223">
        <v>10</v>
      </c>
      <c r="B227" s="213" t="s">
        <v>4354</v>
      </c>
      <c r="C227" s="1" t="s">
        <v>4355</v>
      </c>
      <c r="D227" s="13">
        <v>3523</v>
      </c>
      <c r="F227" s="213" t="s">
        <v>4102</v>
      </c>
      <c r="H227" s="1"/>
      <c r="J227" s="1"/>
    </row>
    <row r="228" spans="1:10">
      <c r="A228" s="223">
        <v>11</v>
      </c>
      <c r="B228" s="213" t="s">
        <v>4356</v>
      </c>
      <c r="C228" s="1" t="s">
        <v>4357</v>
      </c>
      <c r="D228" s="13">
        <v>3437</v>
      </c>
      <c r="F228" s="213" t="s">
        <v>4112</v>
      </c>
      <c r="H228" s="1"/>
      <c r="J228" s="1"/>
    </row>
    <row r="229" spans="1:10">
      <c r="A229" s="223">
        <v>12</v>
      </c>
      <c r="B229" s="213" t="s">
        <v>4358</v>
      </c>
      <c r="C229" s="1" t="s">
        <v>4359</v>
      </c>
      <c r="D229" s="13">
        <v>5180</v>
      </c>
      <c r="F229" s="213" t="s">
        <v>4112</v>
      </c>
      <c r="H229" s="1"/>
      <c r="J229" s="1"/>
    </row>
    <row r="230" spans="1:10">
      <c r="A230" s="223">
        <v>13</v>
      </c>
      <c r="B230" s="213" t="s">
        <v>4360</v>
      </c>
      <c r="C230" s="1" t="s">
        <v>4361</v>
      </c>
      <c r="D230" s="13">
        <v>3658</v>
      </c>
      <c r="F230" s="213" t="s">
        <v>4112</v>
      </c>
      <c r="H230" s="1"/>
      <c r="J230" s="1"/>
    </row>
    <row r="231" spans="1:10">
      <c r="A231" s="223">
        <v>14</v>
      </c>
      <c r="B231" s="213" t="s">
        <v>4362</v>
      </c>
      <c r="C231" s="1" t="s">
        <v>4363</v>
      </c>
      <c r="D231" s="13">
        <v>5674</v>
      </c>
      <c r="F231" s="213" t="s">
        <v>4112</v>
      </c>
      <c r="H231" s="1"/>
      <c r="J231" s="1"/>
    </row>
    <row r="232" spans="1:10">
      <c r="A232" s="223">
        <v>15</v>
      </c>
      <c r="B232" s="213" t="s">
        <v>4364</v>
      </c>
      <c r="C232" s="1" t="s">
        <v>4365</v>
      </c>
      <c r="D232" s="13">
        <v>5922</v>
      </c>
      <c r="F232" s="213" t="s">
        <v>4112</v>
      </c>
      <c r="H232" s="1"/>
      <c r="J232" s="1"/>
    </row>
    <row r="233" spans="1:10">
      <c r="A233" s="223">
        <v>16</v>
      </c>
      <c r="B233" s="213" t="s">
        <v>4366</v>
      </c>
      <c r="C233" s="1" t="s">
        <v>4367</v>
      </c>
      <c r="D233" s="13">
        <v>5097</v>
      </c>
      <c r="F233" s="213" t="s">
        <v>4112</v>
      </c>
      <c r="H233" s="1"/>
      <c r="J233" s="1"/>
    </row>
    <row r="234" spans="1:10">
      <c r="A234" s="223">
        <v>17</v>
      </c>
      <c r="B234" s="213" t="s">
        <v>4368</v>
      </c>
      <c r="C234" s="1" t="s">
        <v>4369</v>
      </c>
      <c r="D234" s="13">
        <v>3807</v>
      </c>
      <c r="F234" s="213" t="s">
        <v>4112</v>
      </c>
      <c r="H234" s="1"/>
      <c r="J234" s="1"/>
    </row>
    <row r="235" spans="1:10">
      <c r="A235" s="223">
        <v>18</v>
      </c>
      <c r="B235" s="213" t="s">
        <v>4370</v>
      </c>
      <c r="C235" s="1" t="s">
        <v>4371</v>
      </c>
      <c r="D235" s="13">
        <v>5129</v>
      </c>
      <c r="F235" s="213" t="s">
        <v>4102</v>
      </c>
      <c r="H235" s="1"/>
      <c r="J235" s="1"/>
    </row>
    <row r="236" spans="1:10">
      <c r="A236" s="223">
        <v>19</v>
      </c>
      <c r="B236" s="213" t="s">
        <v>4372</v>
      </c>
      <c r="C236" s="1" t="s">
        <v>4373</v>
      </c>
      <c r="D236" s="13">
        <v>5784</v>
      </c>
      <c r="F236" s="213" t="s">
        <v>4112</v>
      </c>
      <c r="H236" s="1"/>
      <c r="J236" s="1"/>
    </row>
    <row r="237" spans="1:10">
      <c r="A237" s="223"/>
      <c r="B237" s="213"/>
      <c r="C237" s="1"/>
      <c r="D237" s="13"/>
      <c r="F237" s="213"/>
      <c r="H237" s="1"/>
      <c r="J237" s="1"/>
    </row>
    <row r="238" spans="1:10">
      <c r="A238" s="213" t="s">
        <v>4149</v>
      </c>
      <c r="D238" s="218">
        <f>D227+D235</f>
        <v>8652</v>
      </c>
    </row>
    <row r="239" spans="1:10">
      <c r="A239" s="213" t="s">
        <v>4112</v>
      </c>
      <c r="D239" s="216">
        <f>SUM(D218:D226)+SUM(D228:D234)+D236</f>
        <v>75973</v>
      </c>
    </row>
    <row r="240" spans="1:10">
      <c r="A240" s="213"/>
      <c r="B240" s="213"/>
      <c r="D240" s="216"/>
    </row>
    <row r="241" spans="1:10">
      <c r="A241" s="213" t="s">
        <v>4374</v>
      </c>
      <c r="B241" s="213"/>
      <c r="D241" s="216"/>
    </row>
    <row r="242" spans="1:10">
      <c r="A242" s="213"/>
      <c r="B242" s="213"/>
      <c r="D242" s="224"/>
    </row>
    <row r="243" spans="1:10">
      <c r="A243" s="213"/>
      <c r="B243" s="213"/>
      <c r="D243" s="224"/>
    </row>
    <row r="244" spans="1:10">
      <c r="D244" s="10" t="s">
        <v>285</v>
      </c>
      <c r="E244" s="16"/>
      <c r="F244" s="38" t="s">
        <v>4116</v>
      </c>
    </row>
    <row r="245" spans="1:10">
      <c r="D245" s="15">
        <v>2016</v>
      </c>
      <c r="E245" s="16"/>
      <c r="F245" s="18" t="s">
        <v>286</v>
      </c>
    </row>
    <row r="246" spans="1:10">
      <c r="A246" s="213" t="s">
        <v>4375</v>
      </c>
      <c r="D246" s="216">
        <f t="shared" ref="D246" si="32">SUM(D247:D274)</f>
        <v>71130</v>
      </c>
    </row>
    <row r="247" spans="1:10">
      <c r="A247" s="223">
        <v>1</v>
      </c>
      <c r="B247" s="213" t="s">
        <v>4376</v>
      </c>
      <c r="C247" s="1" t="s">
        <v>4377</v>
      </c>
      <c r="D247" s="7">
        <v>1380</v>
      </c>
      <c r="F247" s="213" t="s">
        <v>4113</v>
      </c>
      <c r="H247" s="1"/>
      <c r="J247" s="1"/>
    </row>
    <row r="248" spans="1:10">
      <c r="A248" s="223">
        <v>2</v>
      </c>
      <c r="B248" s="213" t="s">
        <v>4378</v>
      </c>
      <c r="C248" s="1" t="s">
        <v>4379</v>
      </c>
      <c r="D248" s="7">
        <v>3127</v>
      </c>
      <c r="F248" s="213" t="s">
        <v>4113</v>
      </c>
      <c r="H248" s="1"/>
      <c r="J248" s="1"/>
    </row>
    <row r="249" spans="1:10">
      <c r="A249" s="223">
        <v>3</v>
      </c>
      <c r="B249" s="213" t="s">
        <v>4380</v>
      </c>
      <c r="C249" s="1" t="s">
        <v>4381</v>
      </c>
      <c r="D249" s="7">
        <v>1594</v>
      </c>
      <c r="F249" s="213" t="s">
        <v>4113</v>
      </c>
      <c r="H249" s="1"/>
      <c r="J249" s="1"/>
    </row>
    <row r="250" spans="1:10">
      <c r="A250" s="223">
        <v>4</v>
      </c>
      <c r="B250" s="213" t="s">
        <v>4382</v>
      </c>
      <c r="C250" s="1" t="s">
        <v>4383</v>
      </c>
      <c r="D250" s="7">
        <v>2949</v>
      </c>
      <c r="F250" s="213" t="s">
        <v>4113</v>
      </c>
      <c r="H250" s="1"/>
      <c r="J250" s="1"/>
    </row>
    <row r="251" spans="1:10">
      <c r="A251" s="223">
        <v>5</v>
      </c>
      <c r="B251" s="213" t="s">
        <v>4384</v>
      </c>
      <c r="C251" s="1" t="s">
        <v>4385</v>
      </c>
      <c r="D251" s="7">
        <v>1744</v>
      </c>
      <c r="F251" s="213" t="s">
        <v>4113</v>
      </c>
      <c r="H251" s="1"/>
      <c r="J251" s="1"/>
    </row>
    <row r="252" spans="1:10">
      <c r="A252" s="223">
        <v>6</v>
      </c>
      <c r="B252" s="213" t="s">
        <v>4386</v>
      </c>
      <c r="C252" s="1" t="s">
        <v>4387</v>
      </c>
      <c r="D252" s="7">
        <v>3472</v>
      </c>
      <c r="F252" s="213" t="s">
        <v>4113</v>
      </c>
      <c r="H252" s="1"/>
      <c r="J252" s="1"/>
    </row>
    <row r="253" spans="1:10">
      <c r="A253" s="223">
        <v>7</v>
      </c>
      <c r="B253" s="213" t="s">
        <v>4388</v>
      </c>
      <c r="C253" s="1" t="s">
        <v>4389</v>
      </c>
      <c r="D253" s="7">
        <v>3203</v>
      </c>
      <c r="F253" s="213" t="s">
        <v>4113</v>
      </c>
      <c r="H253" s="1"/>
      <c r="J253" s="1"/>
    </row>
    <row r="254" spans="1:10">
      <c r="A254" s="223">
        <v>8</v>
      </c>
      <c r="B254" s="213" t="s">
        <v>4390</v>
      </c>
      <c r="C254" s="1" t="s">
        <v>4391</v>
      </c>
      <c r="D254" s="7">
        <v>3181</v>
      </c>
      <c r="F254" s="213" t="s">
        <v>4113</v>
      </c>
      <c r="H254" s="1"/>
      <c r="J254" s="1"/>
    </row>
    <row r="255" spans="1:10">
      <c r="A255" s="223">
        <v>9</v>
      </c>
      <c r="B255" s="213" t="s">
        <v>4392</v>
      </c>
      <c r="C255" s="1" t="s">
        <v>4393</v>
      </c>
      <c r="D255" s="7">
        <v>1644</v>
      </c>
      <c r="F255" s="213" t="s">
        <v>4113</v>
      </c>
      <c r="H255" s="1"/>
      <c r="J255" s="1"/>
    </row>
    <row r="256" spans="1:10">
      <c r="A256" s="223">
        <v>10</v>
      </c>
      <c r="B256" s="213" t="s">
        <v>4394</v>
      </c>
      <c r="C256" s="1" t="s">
        <v>4395</v>
      </c>
      <c r="D256" s="7">
        <v>1674</v>
      </c>
      <c r="F256" s="213" t="s">
        <v>4113</v>
      </c>
      <c r="H256" s="1"/>
      <c r="J256" s="1"/>
    </row>
    <row r="257" spans="1:10">
      <c r="A257" s="223">
        <v>11</v>
      </c>
      <c r="B257" s="213" t="s">
        <v>4396</v>
      </c>
      <c r="C257" s="1" t="s">
        <v>4397</v>
      </c>
      <c r="D257" s="7">
        <v>1736</v>
      </c>
      <c r="F257" s="213" t="s">
        <v>4113</v>
      </c>
      <c r="H257" s="1"/>
      <c r="J257" s="1"/>
    </row>
    <row r="258" spans="1:10">
      <c r="A258" s="223">
        <v>12</v>
      </c>
      <c r="B258" s="213" t="s">
        <v>4398</v>
      </c>
      <c r="C258" s="1" t="s">
        <v>4399</v>
      </c>
      <c r="D258" s="7">
        <v>3399</v>
      </c>
      <c r="F258" s="213" t="s">
        <v>4113</v>
      </c>
      <c r="H258" s="1"/>
      <c r="J258" s="1"/>
    </row>
    <row r="259" spans="1:10">
      <c r="A259" s="223">
        <v>13</v>
      </c>
      <c r="B259" s="213" t="s">
        <v>4400</v>
      </c>
      <c r="C259" s="1" t="s">
        <v>4401</v>
      </c>
      <c r="D259" s="7">
        <v>1625</v>
      </c>
      <c r="F259" s="213" t="s">
        <v>4113</v>
      </c>
      <c r="H259" s="1"/>
      <c r="J259" s="1"/>
    </row>
    <row r="260" spans="1:10">
      <c r="A260" s="223">
        <v>14</v>
      </c>
      <c r="B260" s="213" t="s">
        <v>4402</v>
      </c>
      <c r="C260" s="1" t="s">
        <v>4403</v>
      </c>
      <c r="D260" s="7">
        <v>3183</v>
      </c>
      <c r="F260" s="213" t="s">
        <v>4113</v>
      </c>
      <c r="H260" s="1"/>
      <c r="J260" s="1"/>
    </row>
    <row r="261" spans="1:10">
      <c r="A261" s="223">
        <v>15</v>
      </c>
      <c r="B261" s="213" t="s">
        <v>4404</v>
      </c>
      <c r="C261" s="1" t="s">
        <v>4405</v>
      </c>
      <c r="D261" s="8">
        <v>3408</v>
      </c>
      <c r="F261" s="213" t="s">
        <v>4113</v>
      </c>
      <c r="H261" s="1"/>
      <c r="J261" s="1"/>
    </row>
    <row r="262" spans="1:10">
      <c r="A262" s="223">
        <v>16</v>
      </c>
      <c r="B262" s="213" t="s">
        <v>4406</v>
      </c>
      <c r="C262" s="1" t="s">
        <v>4407</v>
      </c>
      <c r="D262" s="8">
        <v>1675</v>
      </c>
      <c r="F262" s="213" t="s">
        <v>4113</v>
      </c>
      <c r="H262" s="1"/>
      <c r="J262" s="1"/>
    </row>
    <row r="263" spans="1:10">
      <c r="A263" s="223">
        <v>17</v>
      </c>
      <c r="B263" s="213" t="s">
        <v>4408</v>
      </c>
      <c r="C263" s="1" t="s">
        <v>4409</v>
      </c>
      <c r="D263" s="8">
        <v>3034</v>
      </c>
      <c r="F263" s="213" t="s">
        <v>4113</v>
      </c>
      <c r="H263" s="1"/>
      <c r="J263" s="1"/>
    </row>
    <row r="264" spans="1:10">
      <c r="A264" s="223">
        <v>18</v>
      </c>
      <c r="B264" s="213" t="s">
        <v>4410</v>
      </c>
      <c r="C264" s="1" t="s">
        <v>4411</v>
      </c>
      <c r="D264" s="8">
        <v>3415</v>
      </c>
      <c r="F264" s="213" t="s">
        <v>4113</v>
      </c>
      <c r="H264" s="1"/>
      <c r="J264" s="1"/>
    </row>
    <row r="265" spans="1:10">
      <c r="A265" s="223">
        <v>19</v>
      </c>
      <c r="B265" s="213" t="s">
        <v>4412</v>
      </c>
      <c r="C265" s="1" t="s">
        <v>4413</v>
      </c>
      <c r="D265" s="8">
        <v>3689</v>
      </c>
      <c r="F265" s="213" t="s">
        <v>4113</v>
      </c>
      <c r="H265" s="1"/>
      <c r="J265" s="1"/>
    </row>
    <row r="266" spans="1:10">
      <c r="A266" s="223">
        <v>20</v>
      </c>
      <c r="B266" s="213" t="s">
        <v>4414</v>
      </c>
      <c r="C266" s="1" t="s">
        <v>4415</v>
      </c>
      <c r="D266" s="8">
        <v>1814</v>
      </c>
      <c r="F266" s="213" t="s">
        <v>4113</v>
      </c>
      <c r="H266" s="1"/>
      <c r="J266" s="1"/>
    </row>
    <row r="267" spans="1:10">
      <c r="A267" s="223">
        <v>21</v>
      </c>
      <c r="B267" s="213" t="s">
        <v>2912</v>
      </c>
      <c r="C267" s="1" t="s">
        <v>4416</v>
      </c>
      <c r="D267" s="8">
        <v>1488</v>
      </c>
      <c r="F267" s="213" t="s">
        <v>4113</v>
      </c>
      <c r="H267" s="1"/>
      <c r="J267" s="1"/>
    </row>
    <row r="268" spans="1:10">
      <c r="A268" s="223">
        <v>22</v>
      </c>
      <c r="B268" s="213" t="s">
        <v>4417</v>
      </c>
      <c r="C268" s="1" t="s">
        <v>4418</v>
      </c>
      <c r="D268" s="8">
        <v>1654</v>
      </c>
      <c r="F268" s="213" t="s">
        <v>4113</v>
      </c>
      <c r="H268" s="1"/>
      <c r="J268" s="1"/>
    </row>
    <row r="269" spans="1:10">
      <c r="A269" s="223">
        <v>23</v>
      </c>
      <c r="B269" s="213" t="s">
        <v>4419</v>
      </c>
      <c r="C269" s="1" t="s">
        <v>4420</v>
      </c>
      <c r="D269" s="8">
        <v>3500</v>
      </c>
      <c r="F269" s="213" t="s">
        <v>4113</v>
      </c>
      <c r="H269" s="1"/>
      <c r="J269" s="1"/>
    </row>
    <row r="270" spans="1:10">
      <c r="A270" s="223">
        <v>24</v>
      </c>
      <c r="B270" s="213" t="s">
        <v>4421</v>
      </c>
      <c r="C270" s="1" t="s">
        <v>4422</v>
      </c>
      <c r="D270" s="8">
        <v>3157</v>
      </c>
      <c r="F270" s="213" t="s">
        <v>4113</v>
      </c>
      <c r="H270" s="1"/>
      <c r="J270" s="1"/>
    </row>
    <row r="271" spans="1:10">
      <c r="A271" s="223">
        <v>25</v>
      </c>
      <c r="B271" s="213" t="s">
        <v>4423</v>
      </c>
      <c r="C271" s="1" t="s">
        <v>4424</v>
      </c>
      <c r="D271" s="8">
        <v>1801</v>
      </c>
      <c r="F271" s="213" t="s">
        <v>4113</v>
      </c>
      <c r="H271" s="1"/>
      <c r="J271" s="1"/>
    </row>
    <row r="272" spans="1:10">
      <c r="A272" s="223">
        <v>26</v>
      </c>
      <c r="B272" s="213" t="s">
        <v>4425</v>
      </c>
      <c r="C272" s="1" t="s">
        <v>4426</v>
      </c>
      <c r="D272" s="8">
        <v>1627</v>
      </c>
      <c r="F272" s="213" t="s">
        <v>4113</v>
      </c>
      <c r="H272" s="1"/>
      <c r="J272" s="1"/>
    </row>
    <row r="273" spans="1:10">
      <c r="A273" s="223">
        <v>27</v>
      </c>
      <c r="B273" s="213" t="s">
        <v>4427</v>
      </c>
      <c r="C273" s="1" t="s">
        <v>4428</v>
      </c>
      <c r="D273" s="8">
        <v>5217</v>
      </c>
      <c r="F273" s="213" t="s">
        <v>4113</v>
      </c>
      <c r="H273" s="1"/>
      <c r="J273" s="1"/>
    </row>
    <row r="274" spans="1:10">
      <c r="A274" s="223">
        <v>28</v>
      </c>
      <c r="B274" s="213" t="s">
        <v>4429</v>
      </c>
      <c r="C274" s="1" t="s">
        <v>4430</v>
      </c>
      <c r="D274" s="8">
        <v>1740</v>
      </c>
      <c r="F274" s="213" t="s">
        <v>4113</v>
      </c>
      <c r="H274" s="1"/>
      <c r="J274" s="1"/>
    </row>
    <row r="275" spans="1:10">
      <c r="D275" s="218"/>
    </row>
    <row r="276" spans="1:10">
      <c r="A276" s="213" t="s">
        <v>4113</v>
      </c>
      <c r="D276" s="216">
        <f t="shared" ref="D276" si="33">SUM(D247:D274)</f>
        <v>71130</v>
      </c>
    </row>
    <row r="277" spans="1:10">
      <c r="B277" s="213"/>
      <c r="D277" s="216"/>
    </row>
    <row r="278" spans="1:10">
      <c r="A278" s="213" t="s">
        <v>4431</v>
      </c>
      <c r="B278" s="213"/>
      <c r="D278" s="216"/>
    </row>
    <row r="279" spans="1:10">
      <c r="A279" s="213"/>
      <c r="B279" s="213"/>
      <c r="D279" s="224"/>
    </row>
    <row r="280" spans="1:10">
      <c r="A280" s="213"/>
      <c r="B280" s="213"/>
      <c r="D280" s="224"/>
    </row>
    <row r="281" spans="1:10">
      <c r="D281" s="10" t="s">
        <v>285</v>
      </c>
      <c r="E281" s="16"/>
      <c r="F281" s="38" t="s">
        <v>4116</v>
      </c>
    </row>
    <row r="282" spans="1:10">
      <c r="D282" s="15">
        <v>2016</v>
      </c>
      <c r="E282" s="16"/>
      <c r="F282" s="18" t="s">
        <v>286</v>
      </c>
    </row>
    <row r="283" spans="1:10">
      <c r="A283" s="213" t="s">
        <v>4432</v>
      </c>
      <c r="D283" s="216">
        <f t="shared" ref="D283" si="34">SUM(D284:D308)</f>
        <v>77256</v>
      </c>
    </row>
    <row r="284" spans="1:10">
      <c r="A284" s="223">
        <v>1</v>
      </c>
      <c r="B284" s="213" t="s">
        <v>4433</v>
      </c>
      <c r="C284" s="1" t="s">
        <v>4434</v>
      </c>
      <c r="D284" s="7">
        <v>1563</v>
      </c>
      <c r="F284" s="213" t="s">
        <v>4108</v>
      </c>
      <c r="H284" s="1"/>
      <c r="J284" s="1"/>
    </row>
    <row r="285" spans="1:10">
      <c r="A285" s="223">
        <v>2</v>
      </c>
      <c r="B285" s="213" t="s">
        <v>4435</v>
      </c>
      <c r="C285" s="1" t="s">
        <v>4436</v>
      </c>
      <c r="D285" s="7">
        <v>1553</v>
      </c>
      <c r="F285" s="213" t="s">
        <v>4108</v>
      </c>
      <c r="H285" s="1"/>
      <c r="J285" s="1"/>
    </row>
    <row r="286" spans="1:10">
      <c r="A286" s="223">
        <v>3</v>
      </c>
      <c r="B286" s="213" t="s">
        <v>4437</v>
      </c>
      <c r="C286" s="1" t="s">
        <v>4438</v>
      </c>
      <c r="D286" s="7">
        <v>2998</v>
      </c>
      <c r="F286" s="213" t="s">
        <v>4108</v>
      </c>
      <c r="H286" s="1"/>
      <c r="J286" s="1"/>
    </row>
    <row r="287" spans="1:10">
      <c r="A287" s="223">
        <v>4</v>
      </c>
      <c r="B287" s="213" t="s">
        <v>4439</v>
      </c>
      <c r="C287" s="1" t="s">
        <v>4440</v>
      </c>
      <c r="D287" s="7">
        <v>4579</v>
      </c>
      <c r="F287" s="213" t="s">
        <v>4098</v>
      </c>
      <c r="H287" s="1"/>
      <c r="J287" s="1"/>
    </row>
    <row r="288" spans="1:10">
      <c r="A288" s="223">
        <v>5</v>
      </c>
      <c r="B288" s="213" t="s">
        <v>4441</v>
      </c>
      <c r="C288" s="1" t="s">
        <v>4442</v>
      </c>
      <c r="D288" s="7">
        <v>2818</v>
      </c>
      <c r="F288" s="213" t="s">
        <v>4098</v>
      </c>
      <c r="H288" s="1"/>
      <c r="J288" s="1"/>
    </row>
    <row r="289" spans="1:10">
      <c r="A289" s="223">
        <v>6</v>
      </c>
      <c r="B289" s="213" t="s">
        <v>4443</v>
      </c>
      <c r="C289" s="1" t="s">
        <v>4444</v>
      </c>
      <c r="D289" s="7">
        <v>2699</v>
      </c>
      <c r="F289" s="213" t="s">
        <v>4105</v>
      </c>
      <c r="H289" s="1"/>
      <c r="J289" s="1"/>
    </row>
    <row r="290" spans="1:10">
      <c r="A290" s="223">
        <v>7</v>
      </c>
      <c r="B290" s="213" t="s">
        <v>4445</v>
      </c>
      <c r="C290" s="1" t="s">
        <v>4446</v>
      </c>
      <c r="D290" s="7">
        <v>3189</v>
      </c>
      <c r="F290" s="213" t="s">
        <v>4105</v>
      </c>
      <c r="H290" s="1"/>
      <c r="J290" s="1"/>
    </row>
    <row r="291" spans="1:10">
      <c r="A291" s="223">
        <v>8</v>
      </c>
      <c r="B291" s="213" t="s">
        <v>4447</v>
      </c>
      <c r="C291" s="1" t="s">
        <v>4448</v>
      </c>
      <c r="D291" s="7">
        <v>4149</v>
      </c>
      <c r="F291" s="213" t="s">
        <v>4105</v>
      </c>
      <c r="H291" s="1"/>
      <c r="J291" s="1"/>
    </row>
    <row r="292" spans="1:10">
      <c r="A292" s="223">
        <v>9</v>
      </c>
      <c r="B292" s="213" t="s">
        <v>4449</v>
      </c>
      <c r="C292" s="1" t="s">
        <v>4450</v>
      </c>
      <c r="D292" s="7">
        <v>2797</v>
      </c>
      <c r="F292" s="213" t="s">
        <v>4108</v>
      </c>
      <c r="H292" s="1"/>
      <c r="J292" s="1"/>
    </row>
    <row r="293" spans="1:10">
      <c r="A293" s="223">
        <v>10</v>
      </c>
      <c r="B293" s="213" t="s">
        <v>4451</v>
      </c>
      <c r="C293" s="1" t="s">
        <v>4452</v>
      </c>
      <c r="D293" s="7">
        <v>2810</v>
      </c>
      <c r="F293" s="213" t="s">
        <v>4105</v>
      </c>
      <c r="H293" s="1"/>
      <c r="J293" s="1"/>
    </row>
    <row r="294" spans="1:10">
      <c r="A294" s="223">
        <v>11</v>
      </c>
      <c r="B294" s="213" t="s">
        <v>4453</v>
      </c>
      <c r="C294" s="1" t="s">
        <v>4454</v>
      </c>
      <c r="D294" s="7">
        <v>2802</v>
      </c>
      <c r="F294" s="213" t="s">
        <v>4105</v>
      </c>
      <c r="H294" s="1"/>
      <c r="J294" s="1"/>
    </row>
    <row r="295" spans="1:10">
      <c r="A295" s="223">
        <v>12</v>
      </c>
      <c r="B295" s="213" t="s">
        <v>4455</v>
      </c>
      <c r="C295" s="1" t="s">
        <v>4456</v>
      </c>
      <c r="D295" s="8">
        <v>4133</v>
      </c>
      <c r="F295" s="213" t="s">
        <v>4105</v>
      </c>
      <c r="H295" s="1"/>
      <c r="J295" s="1"/>
    </row>
    <row r="296" spans="1:10">
      <c r="A296" s="223">
        <v>13</v>
      </c>
      <c r="B296" s="214" t="s">
        <v>4457</v>
      </c>
      <c r="C296" s="1" t="s">
        <v>4458</v>
      </c>
      <c r="D296" s="8">
        <v>3074</v>
      </c>
      <c r="F296" s="213" t="s">
        <v>4098</v>
      </c>
      <c r="H296" s="1"/>
      <c r="J296" s="1"/>
    </row>
    <row r="297" spans="1:10">
      <c r="A297" s="223">
        <v>14</v>
      </c>
      <c r="B297" s="213" t="s">
        <v>4459</v>
      </c>
      <c r="C297" s="1" t="s">
        <v>4460</v>
      </c>
      <c r="D297" s="7">
        <v>2702</v>
      </c>
      <c r="F297" s="213" t="s">
        <v>4098</v>
      </c>
      <c r="H297" s="1"/>
      <c r="J297" s="1"/>
    </row>
    <row r="298" spans="1:10">
      <c r="A298" s="223">
        <v>15</v>
      </c>
      <c r="B298" s="213" t="s">
        <v>4461</v>
      </c>
      <c r="C298" s="1" t="s">
        <v>4462</v>
      </c>
      <c r="D298" s="8">
        <v>2959</v>
      </c>
      <c r="F298" s="213" t="s">
        <v>4105</v>
      </c>
      <c r="H298" s="1"/>
      <c r="J298" s="1"/>
    </row>
    <row r="299" spans="1:10">
      <c r="A299" s="223">
        <v>16</v>
      </c>
      <c r="B299" s="213" t="s">
        <v>4463</v>
      </c>
      <c r="C299" s="1" t="s">
        <v>4464</v>
      </c>
      <c r="D299" s="8">
        <v>4286</v>
      </c>
      <c r="F299" s="213" t="s">
        <v>4105</v>
      </c>
      <c r="H299" s="1"/>
      <c r="J299" s="1"/>
    </row>
    <row r="300" spans="1:10">
      <c r="A300" s="223">
        <v>17</v>
      </c>
      <c r="B300" s="213" t="s">
        <v>4465</v>
      </c>
      <c r="C300" s="1" t="s">
        <v>4466</v>
      </c>
      <c r="D300" s="8">
        <v>4290</v>
      </c>
      <c r="F300" s="213" t="s">
        <v>4098</v>
      </c>
      <c r="H300" s="1"/>
      <c r="J300" s="1"/>
    </row>
    <row r="301" spans="1:10">
      <c r="A301" s="223">
        <v>18</v>
      </c>
      <c r="B301" s="213" t="s">
        <v>4467</v>
      </c>
      <c r="C301" s="1" t="s">
        <v>4468</v>
      </c>
      <c r="D301" s="7">
        <v>4159</v>
      </c>
      <c r="F301" s="213" t="s">
        <v>4098</v>
      </c>
      <c r="H301" s="1"/>
      <c r="J301" s="1"/>
    </row>
    <row r="302" spans="1:10">
      <c r="A302" s="223">
        <v>19</v>
      </c>
      <c r="B302" s="213" t="s">
        <v>4469</v>
      </c>
      <c r="C302" s="1" t="s">
        <v>4470</v>
      </c>
      <c r="D302" s="8">
        <v>1916</v>
      </c>
      <c r="F302" s="213" t="s">
        <v>4105</v>
      </c>
      <c r="H302" s="1"/>
      <c r="J302" s="1"/>
    </row>
    <row r="303" spans="1:10">
      <c r="A303" s="223">
        <v>20</v>
      </c>
      <c r="B303" s="213" t="s">
        <v>4471</v>
      </c>
      <c r="C303" s="1" t="s">
        <v>4472</v>
      </c>
      <c r="D303" s="8">
        <v>1369</v>
      </c>
      <c r="F303" s="213" t="s">
        <v>4105</v>
      </c>
      <c r="H303" s="1"/>
      <c r="J303" s="1"/>
    </row>
    <row r="304" spans="1:10">
      <c r="A304" s="223">
        <v>21</v>
      </c>
      <c r="B304" s="213" t="s">
        <v>4473</v>
      </c>
      <c r="C304" s="1" t="s">
        <v>4474</v>
      </c>
      <c r="D304" s="7">
        <v>4368</v>
      </c>
      <c r="F304" s="213" t="s">
        <v>4098</v>
      </c>
      <c r="H304" s="1"/>
      <c r="J304" s="1"/>
    </row>
    <row r="305" spans="1:10">
      <c r="A305" s="223">
        <v>22</v>
      </c>
      <c r="B305" s="213" t="s">
        <v>4475</v>
      </c>
      <c r="C305" s="1" t="s">
        <v>4476</v>
      </c>
      <c r="D305" s="7">
        <v>3118</v>
      </c>
      <c r="F305" s="213" t="s">
        <v>4098</v>
      </c>
      <c r="H305" s="1"/>
      <c r="J305" s="1"/>
    </row>
    <row r="306" spans="1:10">
      <c r="A306" s="223">
        <v>23</v>
      </c>
      <c r="B306" s="213" t="s">
        <v>4477</v>
      </c>
      <c r="C306" s="1" t="s">
        <v>4478</v>
      </c>
      <c r="D306" s="8">
        <v>2972</v>
      </c>
      <c r="F306" s="213" t="s">
        <v>4098</v>
      </c>
      <c r="H306" s="1"/>
      <c r="J306" s="1"/>
    </row>
    <row r="307" spans="1:10">
      <c r="A307" s="223">
        <v>24</v>
      </c>
      <c r="B307" s="213" t="s">
        <v>4479</v>
      </c>
      <c r="C307" s="1" t="s">
        <v>4480</v>
      </c>
      <c r="D307" s="8">
        <v>1449</v>
      </c>
      <c r="F307" s="213" t="s">
        <v>4105</v>
      </c>
      <c r="H307" s="1"/>
      <c r="J307" s="1"/>
    </row>
    <row r="308" spans="1:10">
      <c r="A308" s="223">
        <v>25</v>
      </c>
      <c r="B308" s="213" t="s">
        <v>4481</v>
      </c>
      <c r="C308" s="1" t="s">
        <v>4482</v>
      </c>
      <c r="D308" s="8">
        <v>4504</v>
      </c>
      <c r="F308" s="213" t="s">
        <v>4108</v>
      </c>
      <c r="H308" s="1"/>
      <c r="J308" s="1"/>
    </row>
    <row r="309" spans="1:10">
      <c r="D309" s="218"/>
    </row>
    <row r="310" spans="1:10">
      <c r="A310" s="213" t="s">
        <v>4200</v>
      </c>
      <c r="D310" s="216">
        <f>D287+D288+D296+D297+D300+D301+SUM(D304:D306)</f>
        <v>32080</v>
      </c>
    </row>
    <row r="311" spans="1:10">
      <c r="A311" s="213" t="s">
        <v>4245</v>
      </c>
      <c r="D311" s="216">
        <f>SUM(D289:D291)+SUM(D293:D295)+D298+D299+D302+D303+D307</f>
        <v>31761</v>
      </c>
    </row>
    <row r="312" spans="1:10">
      <c r="A312" s="213" t="s">
        <v>4201</v>
      </c>
      <c r="D312" s="216">
        <f>SUM(D284:D286)+D292+D308</f>
        <v>13415</v>
      </c>
    </row>
    <row r="313" spans="1:10">
      <c r="A313" s="213"/>
      <c r="B313" s="213"/>
      <c r="D313" s="216"/>
    </row>
    <row r="314" spans="1:10">
      <c r="A314" s="213" t="s">
        <v>4483</v>
      </c>
      <c r="B314" s="213"/>
      <c r="D314" s="216"/>
    </row>
    <row r="315" spans="1:10">
      <c r="A315" s="213"/>
      <c r="B315" s="213"/>
      <c r="D315" s="224"/>
    </row>
    <row r="316" spans="1:10">
      <c r="A316" s="213"/>
      <c r="B316" s="213"/>
      <c r="D316" s="224"/>
    </row>
    <row r="317" spans="1:10">
      <c r="D317" s="10" t="s">
        <v>285</v>
      </c>
      <c r="E317" s="16"/>
      <c r="F317" s="38" t="s">
        <v>4116</v>
      </c>
    </row>
    <row r="318" spans="1:10">
      <c r="D318" s="15">
        <v>2016</v>
      </c>
      <c r="E318" s="16"/>
      <c r="F318" s="18" t="s">
        <v>286</v>
      </c>
    </row>
    <row r="319" spans="1:10">
      <c r="A319" s="213" t="s">
        <v>4484</v>
      </c>
      <c r="D319" s="216">
        <f t="shared" ref="D319" si="35">SUM(D320:D334)</f>
        <v>71577</v>
      </c>
    </row>
    <row r="320" spans="1:10">
      <c r="A320" s="223">
        <v>1</v>
      </c>
      <c r="B320" s="213" t="s">
        <v>3427</v>
      </c>
      <c r="C320" s="1" t="s">
        <v>4485</v>
      </c>
      <c r="D320" s="7">
        <v>5323</v>
      </c>
      <c r="F320" s="213" t="s">
        <v>4486</v>
      </c>
      <c r="H320" s="1"/>
      <c r="J320" s="1"/>
    </row>
    <row r="321" spans="1:10">
      <c r="A321" s="223">
        <v>2</v>
      </c>
      <c r="B321" s="213" t="s">
        <v>4487</v>
      </c>
      <c r="C321" s="1" t="s">
        <v>4488</v>
      </c>
      <c r="D321" s="7">
        <v>5858</v>
      </c>
      <c r="F321" s="213" t="s">
        <v>4114</v>
      </c>
      <c r="H321" s="1"/>
      <c r="J321" s="1"/>
    </row>
    <row r="322" spans="1:10">
      <c r="A322" s="223">
        <v>3</v>
      </c>
      <c r="B322" s="213" t="s">
        <v>4489</v>
      </c>
      <c r="C322" s="1" t="s">
        <v>4490</v>
      </c>
      <c r="D322" s="7">
        <v>4246</v>
      </c>
      <c r="F322" s="213" t="s">
        <v>4114</v>
      </c>
      <c r="H322" s="1"/>
      <c r="J322" s="1"/>
    </row>
    <row r="323" spans="1:10">
      <c r="A323" s="223">
        <v>4</v>
      </c>
      <c r="B323" s="213" t="s">
        <v>4491</v>
      </c>
      <c r="C323" s="1" t="s">
        <v>4492</v>
      </c>
      <c r="D323" s="7">
        <v>1934</v>
      </c>
      <c r="F323" s="213" t="s">
        <v>4114</v>
      </c>
      <c r="H323" s="1"/>
      <c r="J323" s="1"/>
    </row>
    <row r="324" spans="1:10">
      <c r="A324" s="223">
        <v>5</v>
      </c>
      <c r="B324" s="213" t="s">
        <v>4493</v>
      </c>
      <c r="C324" s="1" t="s">
        <v>4494</v>
      </c>
      <c r="D324" s="7">
        <v>6589</v>
      </c>
      <c r="F324" s="213" t="s">
        <v>4114</v>
      </c>
      <c r="H324" s="1"/>
      <c r="J324" s="1"/>
    </row>
    <row r="325" spans="1:10">
      <c r="A325" s="223">
        <v>6</v>
      </c>
      <c r="B325" s="213" t="s">
        <v>4495</v>
      </c>
      <c r="C325" s="1" t="s">
        <v>4496</v>
      </c>
      <c r="D325" s="7">
        <v>3923</v>
      </c>
      <c r="F325" s="213" t="s">
        <v>4114</v>
      </c>
      <c r="H325" s="1"/>
      <c r="J325" s="1"/>
    </row>
    <row r="326" spans="1:10">
      <c r="A326" s="223">
        <v>7</v>
      </c>
      <c r="B326" s="213" t="s">
        <v>4497</v>
      </c>
      <c r="C326" s="1" t="s">
        <v>4498</v>
      </c>
      <c r="D326" s="7">
        <v>4175</v>
      </c>
      <c r="F326" s="213" t="s">
        <v>4114</v>
      </c>
      <c r="H326" s="1"/>
      <c r="J326" s="1"/>
    </row>
    <row r="327" spans="1:10">
      <c r="A327" s="223">
        <v>8</v>
      </c>
      <c r="B327" s="213" t="s">
        <v>4499</v>
      </c>
      <c r="C327" s="1" t="s">
        <v>4500</v>
      </c>
      <c r="D327" s="7">
        <v>6031</v>
      </c>
      <c r="F327" s="213" t="s">
        <v>4114</v>
      </c>
      <c r="H327" s="1"/>
      <c r="J327" s="1"/>
    </row>
    <row r="328" spans="1:10">
      <c r="A328" s="223">
        <v>9</v>
      </c>
      <c r="B328" s="213" t="s">
        <v>4501</v>
      </c>
      <c r="C328" s="1" t="s">
        <v>4502</v>
      </c>
      <c r="D328" s="7">
        <v>6169</v>
      </c>
      <c r="F328" s="213" t="s">
        <v>4114</v>
      </c>
      <c r="H328" s="1"/>
      <c r="J328" s="1"/>
    </row>
    <row r="329" spans="1:10">
      <c r="A329" s="223">
        <v>10</v>
      </c>
      <c r="B329" s="213" t="s">
        <v>4503</v>
      </c>
      <c r="C329" s="1" t="s">
        <v>4504</v>
      </c>
      <c r="D329" s="7">
        <v>3886</v>
      </c>
      <c r="F329" s="213" t="s">
        <v>4114</v>
      </c>
      <c r="H329" s="1"/>
      <c r="J329" s="1"/>
    </row>
    <row r="330" spans="1:10">
      <c r="A330" s="223">
        <v>11</v>
      </c>
      <c r="B330" s="213" t="s">
        <v>4505</v>
      </c>
      <c r="C330" s="1" t="s">
        <v>4506</v>
      </c>
      <c r="D330" s="7">
        <v>4111</v>
      </c>
      <c r="F330" s="213" t="s">
        <v>4114</v>
      </c>
      <c r="H330" s="1"/>
      <c r="J330" s="1"/>
    </row>
    <row r="331" spans="1:10">
      <c r="A331" s="223">
        <v>12</v>
      </c>
      <c r="B331" s="213" t="s">
        <v>4507</v>
      </c>
      <c r="C331" s="1" t="s">
        <v>4508</v>
      </c>
      <c r="D331" s="7">
        <v>3394</v>
      </c>
      <c r="F331" s="213" t="s">
        <v>4114</v>
      </c>
      <c r="H331" s="1"/>
      <c r="J331" s="1"/>
    </row>
    <row r="332" spans="1:10">
      <c r="A332" s="223">
        <v>13</v>
      </c>
      <c r="B332" s="213" t="s">
        <v>4509</v>
      </c>
      <c r="C332" s="1" t="s">
        <v>4510</v>
      </c>
      <c r="D332" s="7">
        <v>5876</v>
      </c>
      <c r="F332" s="213" t="s">
        <v>4114</v>
      </c>
      <c r="H332" s="1"/>
      <c r="J332" s="1"/>
    </row>
    <row r="333" spans="1:10">
      <c r="A333" s="223">
        <v>14</v>
      </c>
      <c r="B333" s="213" t="s">
        <v>4511</v>
      </c>
      <c r="C333" s="1" t="s">
        <v>4512</v>
      </c>
      <c r="D333" s="7">
        <v>3635</v>
      </c>
      <c r="F333" s="213" t="s">
        <v>4114</v>
      </c>
      <c r="H333" s="1"/>
      <c r="J333" s="1"/>
    </row>
    <row r="334" spans="1:10">
      <c r="A334" s="223">
        <v>15</v>
      </c>
      <c r="B334" s="213" t="s">
        <v>4513</v>
      </c>
      <c r="C334" s="1" t="s">
        <v>4514</v>
      </c>
      <c r="D334" s="7">
        <v>6427</v>
      </c>
      <c r="F334" s="213" t="s">
        <v>4114</v>
      </c>
      <c r="H334" s="1"/>
      <c r="J334" s="1"/>
    </row>
    <row r="335" spans="1:10">
      <c r="A335" s="223"/>
      <c r="B335" s="213"/>
      <c r="C335" s="1"/>
      <c r="D335" s="7"/>
      <c r="F335" s="213"/>
      <c r="H335" s="1"/>
      <c r="J335" s="1"/>
    </row>
    <row r="336" spans="1:10">
      <c r="A336" s="213" t="s">
        <v>4515</v>
      </c>
      <c r="D336" s="218">
        <f>D320</f>
        <v>5323</v>
      </c>
    </row>
    <row r="337" spans="1:4" ht="15" customHeight="1">
      <c r="A337" s="213" t="s">
        <v>4151</v>
      </c>
      <c r="D337" s="216">
        <f>SUM(D321:D334)</f>
        <v>66254</v>
      </c>
    </row>
    <row r="339" spans="1:4">
      <c r="A339" s="214" t="s">
        <v>4516</v>
      </c>
    </row>
  </sheetData>
  <printOptions gridLinesSet="0"/>
  <pageMargins left="0.78740157480314965" right="0" top="0.51181102362204722" bottom="0.51181102362204722" header="0.51181102362204722" footer="0.51181102362204722"/>
  <pageSetup paperSize="9" scale="68" orientation="portrait" horizontalDpi="300" verticalDpi="300" r:id="rId1"/>
  <headerFooter alignWithMargins="0">
    <oddFooter>&amp;C&amp;"Times New Roman,Regular"&amp;8&amp;P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392"/>
  <sheetViews>
    <sheetView showGridLines="0" zoomScaleNormal="100" workbookViewId="0"/>
  </sheetViews>
  <sheetFormatPr defaultColWidth="12.59765625" defaultRowHeight="14.5"/>
  <cols>
    <col min="1" max="1" width="4.8984375" style="64" customWidth="1"/>
    <col min="2" max="2" width="40.69921875" style="64" customWidth="1"/>
    <col min="3" max="3" width="11.59765625" style="64" customWidth="1"/>
    <col min="4" max="4" width="10.09765625" style="64" customWidth="1"/>
    <col min="5" max="5" width="2.296875" style="64" customWidth="1"/>
    <col min="6" max="6" width="36" style="64" customWidth="1"/>
    <col min="7" max="16384" width="12.59765625" style="64"/>
  </cols>
  <sheetData>
    <row r="1" spans="1:6">
      <c r="A1" s="63" t="s">
        <v>1075</v>
      </c>
      <c r="D1" s="65">
        <v>2016</v>
      </c>
    </row>
    <row r="3" spans="1:6">
      <c r="A3" s="63" t="s">
        <v>196</v>
      </c>
      <c r="C3" s="63"/>
      <c r="D3" s="66">
        <f>SUM(D8:D15)</f>
        <v>578059</v>
      </c>
    </row>
    <row r="4" spans="1:6">
      <c r="A4" s="63" t="s">
        <v>197</v>
      </c>
      <c r="C4" s="63"/>
      <c r="D4" s="66">
        <f>D68</f>
        <v>176755</v>
      </c>
    </row>
    <row r="5" spans="1:6" ht="15" thickBot="1">
      <c r="A5" s="63" t="s">
        <v>467</v>
      </c>
      <c r="C5" s="63"/>
      <c r="D5" s="67">
        <f>D99</f>
        <v>97951</v>
      </c>
    </row>
    <row r="6" spans="1:6" ht="15" thickBot="1">
      <c r="A6" s="2"/>
      <c r="C6" s="2"/>
      <c r="D6" s="68">
        <f>SUM(D3:D5)</f>
        <v>852765</v>
      </c>
      <c r="E6" s="2"/>
    </row>
    <row r="7" spans="1:6">
      <c r="A7" s="2"/>
      <c r="C7" s="2"/>
      <c r="D7" s="3"/>
      <c r="E7" s="2"/>
      <c r="F7" s="2"/>
    </row>
    <row r="8" spans="1:6">
      <c r="A8" s="63" t="s">
        <v>462</v>
      </c>
      <c r="C8" s="63"/>
      <c r="D8" s="66">
        <f>D124</f>
        <v>107456</v>
      </c>
      <c r="E8" s="69"/>
      <c r="F8" s="69"/>
    </row>
    <row r="9" spans="1:6">
      <c r="A9" s="63" t="s">
        <v>463</v>
      </c>
      <c r="C9" s="63"/>
      <c r="D9" s="66">
        <f>D167</f>
        <v>81231</v>
      </c>
      <c r="E9" s="69"/>
      <c r="F9" s="69"/>
    </row>
    <row r="10" spans="1:6">
      <c r="A10" s="63" t="s">
        <v>464</v>
      </c>
      <c r="C10" s="63"/>
      <c r="D10" s="66">
        <f>D195</f>
        <v>57917</v>
      </c>
      <c r="E10" s="69"/>
      <c r="F10" s="69"/>
    </row>
    <row r="11" spans="1:6">
      <c r="A11" s="63" t="s">
        <v>465</v>
      </c>
      <c r="C11" s="63"/>
      <c r="D11" s="66">
        <f>D231</f>
        <v>73240</v>
      </c>
      <c r="E11" s="69"/>
      <c r="F11" s="69"/>
    </row>
    <row r="12" spans="1:6">
      <c r="A12" s="63" t="s">
        <v>466</v>
      </c>
      <c r="C12" s="63"/>
      <c r="D12" s="66">
        <f>D269</f>
        <v>65782</v>
      </c>
      <c r="E12" s="69"/>
      <c r="F12" s="69"/>
    </row>
    <row r="13" spans="1:6">
      <c r="A13" s="63" t="s">
        <v>459</v>
      </c>
      <c r="C13" s="63"/>
      <c r="D13" s="66">
        <f>D299</f>
        <v>99599</v>
      </c>
      <c r="E13" s="69"/>
      <c r="F13" s="69"/>
    </row>
    <row r="14" spans="1:6">
      <c r="A14" s="63" t="s">
        <v>460</v>
      </c>
      <c r="C14" s="63"/>
      <c r="D14" s="66">
        <f>D336</f>
        <v>51061</v>
      </c>
      <c r="E14" s="69"/>
      <c r="F14" s="69"/>
    </row>
    <row r="15" spans="1:6">
      <c r="A15" s="63" t="s">
        <v>461</v>
      </c>
      <c r="C15" s="63"/>
      <c r="D15" s="66">
        <f>D369</f>
        <v>41773</v>
      </c>
      <c r="E15" s="69"/>
      <c r="F15" s="69"/>
    </row>
    <row r="16" spans="1:6">
      <c r="A16" s="63"/>
      <c r="D16" s="70"/>
    </row>
    <row r="17" spans="1:6">
      <c r="A17" s="63" t="s">
        <v>2347</v>
      </c>
      <c r="D17" s="66">
        <f>CORNWALL!D7</f>
        <v>30431</v>
      </c>
      <c r="F17" s="63" t="s">
        <v>594</v>
      </c>
    </row>
    <row r="18" spans="1:6" ht="15" thickBot="1">
      <c r="D18" s="67">
        <f>D361</f>
        <v>41034</v>
      </c>
      <c r="F18" s="63" t="s">
        <v>2346</v>
      </c>
    </row>
    <row r="19" spans="1:6" ht="15" thickBot="1">
      <c r="D19" s="67">
        <f>SUM(D17:D18)</f>
        <v>71465</v>
      </c>
    </row>
    <row r="20" spans="1:6">
      <c r="A20" s="63"/>
      <c r="D20" s="70"/>
    </row>
    <row r="21" spans="1:6">
      <c r="A21" s="64" t="s">
        <v>290</v>
      </c>
      <c r="D21" s="72">
        <f>D221</f>
        <v>21423</v>
      </c>
      <c r="F21" s="64" t="s">
        <v>292</v>
      </c>
    </row>
    <row r="22" spans="1:6">
      <c r="D22" s="72">
        <f>D326</f>
        <v>21677</v>
      </c>
      <c r="F22" s="64" t="s">
        <v>293</v>
      </c>
    </row>
    <row r="23" spans="1:6">
      <c r="D23" s="72">
        <f>D362</f>
        <v>10027</v>
      </c>
      <c r="F23" s="63" t="s">
        <v>2346</v>
      </c>
    </row>
    <row r="24" spans="1:6" ht="15" thickBot="1">
      <c r="D24" s="73">
        <f>D389</f>
        <v>18104</v>
      </c>
      <c r="F24" s="64" t="s">
        <v>294</v>
      </c>
    </row>
    <row r="25" spans="1:6" ht="15" thickBot="1">
      <c r="D25" s="74">
        <f>SUM(D21:D24)</f>
        <v>71231</v>
      </c>
    </row>
    <row r="26" spans="1:6">
      <c r="A26" s="63"/>
      <c r="D26" s="71"/>
    </row>
    <row r="27" spans="1:6">
      <c r="A27" s="63" t="s">
        <v>295</v>
      </c>
      <c r="D27" s="66">
        <f>D158</f>
        <v>68132</v>
      </c>
      <c r="F27" s="63" t="s">
        <v>291</v>
      </c>
    </row>
    <row r="28" spans="1:6" ht="15" thickBot="1">
      <c r="A28" s="63"/>
      <c r="D28" s="67">
        <f>D187</f>
        <v>9827</v>
      </c>
      <c r="F28" s="63" t="s">
        <v>94</v>
      </c>
    </row>
    <row r="29" spans="1:6" ht="15" thickBot="1">
      <c r="A29" s="63"/>
      <c r="D29" s="75">
        <f>D27+D28</f>
        <v>77959</v>
      </c>
      <c r="F29" s="63"/>
    </row>
    <row r="30" spans="1:6">
      <c r="D30" s="72"/>
    </row>
    <row r="31" spans="1:6">
      <c r="A31" s="63" t="s">
        <v>95</v>
      </c>
      <c r="D31" s="66">
        <f>D188</f>
        <v>71404</v>
      </c>
      <c r="F31" s="63" t="s">
        <v>94</v>
      </c>
    </row>
    <row r="32" spans="1:6">
      <c r="D32" s="72"/>
    </row>
    <row r="33" spans="1:6">
      <c r="A33" s="63" t="s">
        <v>96</v>
      </c>
      <c r="D33" s="66">
        <f>D327</f>
        <v>71099</v>
      </c>
      <c r="F33" s="63" t="s">
        <v>293</v>
      </c>
    </row>
    <row r="34" spans="1:6">
      <c r="D34" s="72"/>
    </row>
    <row r="35" spans="1:6">
      <c r="A35" s="63" t="s">
        <v>97</v>
      </c>
      <c r="D35" s="76">
        <f>D260</f>
        <v>73240</v>
      </c>
      <c r="F35" s="63" t="s">
        <v>384</v>
      </c>
    </row>
    <row r="36" spans="1:6">
      <c r="D36" s="72"/>
    </row>
    <row r="37" spans="1:6">
      <c r="A37" s="63" t="s">
        <v>2343</v>
      </c>
      <c r="D37" s="66">
        <f>D90</f>
        <v>75751</v>
      </c>
      <c r="F37" s="63" t="s">
        <v>98</v>
      </c>
    </row>
    <row r="38" spans="1:6">
      <c r="D38" s="72"/>
    </row>
    <row r="39" spans="1:6">
      <c r="A39" s="63" t="s">
        <v>2344</v>
      </c>
      <c r="D39" s="66">
        <f>D91</f>
        <v>78406</v>
      </c>
      <c r="F39" s="63" t="s">
        <v>98</v>
      </c>
    </row>
    <row r="40" spans="1:6">
      <c r="D40" s="72"/>
    </row>
    <row r="41" spans="1:6">
      <c r="A41" s="63" t="s">
        <v>2345</v>
      </c>
      <c r="D41" s="66">
        <f>D92</f>
        <v>22598</v>
      </c>
      <c r="F41" s="63" t="s">
        <v>98</v>
      </c>
    </row>
    <row r="42" spans="1:6">
      <c r="D42" s="76">
        <f>D291</f>
        <v>26108</v>
      </c>
      <c r="F42" s="63" t="s">
        <v>296</v>
      </c>
    </row>
    <row r="43" spans="1:6" ht="15" thickBot="1">
      <c r="D43" s="67">
        <f>D390</f>
        <v>23669</v>
      </c>
      <c r="F43" s="64" t="s">
        <v>294</v>
      </c>
    </row>
    <row r="44" spans="1:6" ht="15" thickBot="1">
      <c r="D44" s="67">
        <f>SUM(D41:D43)</f>
        <v>72375</v>
      </c>
    </row>
    <row r="45" spans="1:6">
      <c r="D45" s="72"/>
    </row>
    <row r="46" spans="1:6">
      <c r="A46" s="63" t="s">
        <v>297</v>
      </c>
      <c r="D46" s="66">
        <f>D159</f>
        <v>39324</v>
      </c>
      <c r="F46" s="63" t="s">
        <v>291</v>
      </c>
    </row>
    <row r="47" spans="1:6" ht="15" thickBot="1">
      <c r="D47" s="67">
        <f>D222</f>
        <v>36494</v>
      </c>
      <c r="F47" s="63" t="s">
        <v>292</v>
      </c>
    </row>
    <row r="48" spans="1:6" ht="15" thickBot="1">
      <c r="D48" s="67">
        <f>D46+D47</f>
        <v>75818</v>
      </c>
    </row>
    <row r="49" spans="1:6">
      <c r="D49" s="72"/>
    </row>
    <row r="50" spans="1:6">
      <c r="A50" s="63" t="s">
        <v>298</v>
      </c>
      <c r="D50" s="66">
        <f>D116</f>
        <v>71459</v>
      </c>
      <c r="F50" s="63" t="s">
        <v>299</v>
      </c>
    </row>
    <row r="51" spans="1:6">
      <c r="D51" s="72"/>
    </row>
    <row r="52" spans="1:6">
      <c r="A52" s="63" t="s">
        <v>300</v>
      </c>
      <c r="D52" s="66">
        <f>D292</f>
        <v>39674</v>
      </c>
      <c r="F52" s="63" t="s">
        <v>296</v>
      </c>
    </row>
    <row r="53" spans="1:6">
      <c r="A53" s="63"/>
      <c r="D53" s="66">
        <f>D328</f>
        <v>6823</v>
      </c>
      <c r="F53" s="63" t="s">
        <v>293</v>
      </c>
    </row>
    <row r="54" spans="1:6" ht="15" thickBot="1">
      <c r="D54" s="67">
        <f>D117</f>
        <v>26492</v>
      </c>
      <c r="F54" s="63" t="s">
        <v>301</v>
      </c>
    </row>
    <row r="55" spans="1:6" ht="15" thickBot="1">
      <c r="D55" s="67">
        <f>SUM(D52:D54)</f>
        <v>72989</v>
      </c>
    </row>
    <row r="56" spans="1:6">
      <c r="D56" s="72"/>
    </row>
    <row r="57" spans="1:6">
      <c r="A57" s="63" t="s">
        <v>1041</v>
      </c>
      <c r="D57" s="66">
        <f>D18+D25+D29+D31+D33+D35+D37+D39+D44+D48+D50+D55</f>
        <v>852765</v>
      </c>
    </row>
    <row r="58" spans="1:6">
      <c r="D58" s="72"/>
    </row>
    <row r="59" spans="1:6">
      <c r="A59" s="63" t="s">
        <v>1042</v>
      </c>
      <c r="D59" s="66">
        <f>MAX(D19,D25,D29,D31,D33,D35,D37,D39,D44,D48,D50,D55)-MIN(D19,D25,D29,D31,D33,D35,D37,D39,D44,D48,D50,D55)</f>
        <v>7307</v>
      </c>
    </row>
    <row r="60" spans="1:6">
      <c r="D60" s="72"/>
    </row>
    <row r="61" spans="1:6">
      <c r="A61" s="63" t="s">
        <v>1045</v>
      </c>
      <c r="D61" s="66">
        <f>STDEVP(D19,D25,D29,D31,D33,D35,D37,D39,D44,D48,D50,D55)</f>
        <v>2573.5848970302541</v>
      </c>
    </row>
    <row r="62" spans="1:6">
      <c r="A62" s="63"/>
      <c r="D62" s="71"/>
    </row>
    <row r="63" spans="1:6">
      <c r="A63" s="63" t="s">
        <v>663</v>
      </c>
      <c r="D63" s="71"/>
    </row>
    <row r="64" spans="1:6">
      <c r="A64" s="63"/>
      <c r="D64" s="71"/>
    </row>
    <row r="65" spans="1:9">
      <c r="A65" s="63"/>
      <c r="D65" s="71"/>
    </row>
    <row r="66" spans="1:9">
      <c r="D66" s="10" t="s">
        <v>285</v>
      </c>
      <c r="E66" s="38"/>
      <c r="F66" s="38" t="s">
        <v>1842</v>
      </c>
    </row>
    <row r="67" spans="1:9">
      <c r="D67" s="39">
        <v>2016</v>
      </c>
      <c r="F67" s="41" t="s">
        <v>286</v>
      </c>
    </row>
    <row r="68" spans="1:9">
      <c r="A68" s="63" t="s">
        <v>197</v>
      </c>
      <c r="C68" s="63"/>
      <c r="D68" s="66">
        <f>SUM(D69:D88)</f>
        <v>176755</v>
      </c>
    </row>
    <row r="69" spans="1:9">
      <c r="A69" s="63" t="s">
        <v>812</v>
      </c>
      <c r="B69" s="63" t="s">
        <v>664</v>
      </c>
      <c r="C69" s="1" t="s">
        <v>1197</v>
      </c>
      <c r="D69" s="13">
        <v>9146</v>
      </c>
      <c r="F69" s="63" t="s">
        <v>2343</v>
      </c>
      <c r="G69" s="1"/>
      <c r="I69" s="1"/>
    </row>
    <row r="70" spans="1:9">
      <c r="A70" s="63" t="s">
        <v>813</v>
      </c>
      <c r="B70" s="63" t="s">
        <v>516</v>
      </c>
      <c r="C70" s="1" t="s">
        <v>1198</v>
      </c>
      <c r="D70" s="13">
        <v>8529</v>
      </c>
      <c r="F70" s="63" t="s">
        <v>2344</v>
      </c>
      <c r="G70" s="1"/>
      <c r="I70" s="1"/>
    </row>
    <row r="71" spans="1:9">
      <c r="A71" s="63" t="s">
        <v>814</v>
      </c>
      <c r="B71" s="63" t="s">
        <v>665</v>
      </c>
      <c r="C71" s="1" t="s">
        <v>1199</v>
      </c>
      <c r="D71" s="13">
        <v>9380</v>
      </c>
      <c r="F71" s="63" t="s">
        <v>2344</v>
      </c>
      <c r="G71" s="1"/>
      <c r="I71" s="1"/>
    </row>
    <row r="72" spans="1:9">
      <c r="A72" s="63" t="s">
        <v>815</v>
      </c>
      <c r="B72" s="63" t="s">
        <v>666</v>
      </c>
      <c r="C72" s="1" t="s">
        <v>1200</v>
      </c>
      <c r="D72" s="13">
        <v>5504</v>
      </c>
      <c r="F72" s="63" t="s">
        <v>2344</v>
      </c>
      <c r="G72" s="1"/>
      <c r="I72" s="1"/>
    </row>
    <row r="73" spans="1:9">
      <c r="A73" s="63" t="s">
        <v>816</v>
      </c>
      <c r="B73" s="63" t="s">
        <v>667</v>
      </c>
      <c r="C73" s="1" t="s">
        <v>1201</v>
      </c>
      <c r="D73" s="13">
        <v>9121</v>
      </c>
      <c r="F73" s="63" t="s">
        <v>2344</v>
      </c>
      <c r="G73" s="1"/>
      <c r="I73" s="1"/>
    </row>
    <row r="74" spans="1:9">
      <c r="A74" s="63" t="s">
        <v>826</v>
      </c>
      <c r="B74" s="63" t="s">
        <v>668</v>
      </c>
      <c r="C74" s="1" t="s">
        <v>1202</v>
      </c>
      <c r="D74" s="13">
        <v>9854</v>
      </c>
      <c r="F74" s="63" t="s">
        <v>2343</v>
      </c>
      <c r="G74" s="1"/>
      <c r="I74" s="1"/>
    </row>
    <row r="75" spans="1:9">
      <c r="A75" s="63" t="s">
        <v>827</v>
      </c>
      <c r="B75" s="63" t="s">
        <v>669</v>
      </c>
      <c r="C75" s="1" t="s">
        <v>1203</v>
      </c>
      <c r="D75" s="13">
        <v>9094</v>
      </c>
      <c r="F75" s="63" t="s">
        <v>2343</v>
      </c>
      <c r="G75" s="1"/>
      <c r="I75" s="1"/>
    </row>
    <row r="76" spans="1:9">
      <c r="A76" s="63" t="s">
        <v>828</v>
      </c>
      <c r="B76" s="63" t="s">
        <v>670</v>
      </c>
      <c r="C76" s="1" t="s">
        <v>1204</v>
      </c>
      <c r="D76" s="13">
        <v>9761</v>
      </c>
      <c r="F76" s="63" t="s">
        <v>2343</v>
      </c>
      <c r="G76" s="1"/>
      <c r="I76" s="1"/>
    </row>
    <row r="77" spans="1:9">
      <c r="A77" s="63" t="s">
        <v>829</v>
      </c>
      <c r="B77" s="63" t="s">
        <v>671</v>
      </c>
      <c r="C77" s="1" t="s">
        <v>1205</v>
      </c>
      <c r="D77" s="13">
        <v>9142</v>
      </c>
      <c r="F77" s="63" t="s">
        <v>2343</v>
      </c>
      <c r="G77" s="1"/>
      <c r="I77" s="1"/>
    </row>
    <row r="78" spans="1:9">
      <c r="A78" s="63" t="s">
        <v>830</v>
      </c>
      <c r="B78" s="63" t="s">
        <v>198</v>
      </c>
      <c r="C78" s="1" t="s">
        <v>1206</v>
      </c>
      <c r="D78" s="13">
        <v>9846</v>
      </c>
      <c r="F78" s="63" t="s">
        <v>2343</v>
      </c>
      <c r="G78" s="1"/>
      <c r="I78" s="1"/>
    </row>
    <row r="79" spans="1:9">
      <c r="A79" s="63" t="s">
        <v>831</v>
      </c>
      <c r="B79" s="63" t="s">
        <v>199</v>
      </c>
      <c r="C79" s="1" t="s">
        <v>1207</v>
      </c>
      <c r="D79" s="13">
        <v>5945</v>
      </c>
      <c r="F79" s="63" t="s">
        <v>2345</v>
      </c>
      <c r="G79" s="1"/>
      <c r="I79" s="1"/>
    </row>
    <row r="80" spans="1:9">
      <c r="A80" s="63" t="s">
        <v>832</v>
      </c>
      <c r="B80" s="63" t="s">
        <v>200</v>
      </c>
      <c r="C80" s="1" t="s">
        <v>1208</v>
      </c>
      <c r="D80" s="13">
        <v>6680</v>
      </c>
      <c r="F80" s="63" t="s">
        <v>2345</v>
      </c>
      <c r="G80" s="1"/>
      <c r="I80" s="1"/>
    </row>
    <row r="81" spans="1:9">
      <c r="A81" s="63" t="s">
        <v>833</v>
      </c>
      <c r="B81" s="63" t="s">
        <v>201</v>
      </c>
      <c r="C81" s="1" t="s">
        <v>1209</v>
      </c>
      <c r="D81" s="13">
        <v>9973</v>
      </c>
      <c r="F81" s="63" t="s">
        <v>2345</v>
      </c>
      <c r="G81" s="1"/>
      <c r="I81" s="1"/>
    </row>
    <row r="82" spans="1:9">
      <c r="A82" s="63" t="s">
        <v>834</v>
      </c>
      <c r="B82" s="63" t="s">
        <v>202</v>
      </c>
      <c r="C82" s="1" t="s">
        <v>1210</v>
      </c>
      <c r="D82" s="13">
        <v>9465</v>
      </c>
      <c r="F82" s="63" t="s">
        <v>2344</v>
      </c>
      <c r="G82" s="1"/>
      <c r="I82" s="1"/>
    </row>
    <row r="83" spans="1:9">
      <c r="A83" s="63" t="s">
        <v>835</v>
      </c>
      <c r="B83" s="63" t="s">
        <v>203</v>
      </c>
      <c r="C83" s="1" t="s">
        <v>1211</v>
      </c>
      <c r="D83" s="13">
        <v>9800</v>
      </c>
      <c r="F83" s="63" t="s">
        <v>2344</v>
      </c>
      <c r="G83" s="1"/>
      <c r="I83" s="1"/>
    </row>
    <row r="84" spans="1:9">
      <c r="A84" s="63" t="s">
        <v>836</v>
      </c>
      <c r="B84" s="63" t="s">
        <v>204</v>
      </c>
      <c r="C84" s="1" t="s">
        <v>1212</v>
      </c>
      <c r="D84" s="13">
        <v>9238</v>
      </c>
      <c r="F84" s="63" t="s">
        <v>2343</v>
      </c>
      <c r="G84" s="1"/>
      <c r="I84" s="1"/>
    </row>
    <row r="85" spans="1:9">
      <c r="A85" s="63" t="s">
        <v>837</v>
      </c>
      <c r="B85" s="63" t="s">
        <v>205</v>
      </c>
      <c r="C85" s="1" t="s">
        <v>1213</v>
      </c>
      <c r="D85" s="13">
        <v>9221</v>
      </c>
      <c r="F85" s="63" t="s">
        <v>2344</v>
      </c>
      <c r="G85" s="1"/>
      <c r="I85" s="1"/>
    </row>
    <row r="86" spans="1:9">
      <c r="A86" s="63" t="s">
        <v>838</v>
      </c>
      <c r="B86" s="63" t="s">
        <v>206</v>
      </c>
      <c r="C86" s="1" t="s">
        <v>1214</v>
      </c>
      <c r="D86" s="13">
        <v>9670</v>
      </c>
      <c r="F86" s="63" t="s">
        <v>2343</v>
      </c>
      <c r="G86" s="1"/>
      <c r="I86" s="1"/>
    </row>
    <row r="87" spans="1:9">
      <c r="A87" s="63" t="s">
        <v>840</v>
      </c>
      <c r="B87" s="63" t="s">
        <v>207</v>
      </c>
      <c r="C87" s="1" t="s">
        <v>1215</v>
      </c>
      <c r="D87" s="13">
        <v>8796</v>
      </c>
      <c r="F87" s="63" t="s">
        <v>2344</v>
      </c>
      <c r="G87" s="1"/>
      <c r="I87" s="1"/>
    </row>
    <row r="88" spans="1:9">
      <c r="A88" s="63" t="s">
        <v>841</v>
      </c>
      <c r="B88" s="63" t="s">
        <v>854</v>
      </c>
      <c r="C88" s="1" t="s">
        <v>1216</v>
      </c>
      <c r="D88" s="13">
        <v>8590</v>
      </c>
      <c r="F88" s="63" t="s">
        <v>2344</v>
      </c>
      <c r="G88" s="1"/>
      <c r="I88" s="1"/>
    </row>
    <row r="89" spans="1:9">
      <c r="D89" s="72"/>
    </row>
    <row r="90" spans="1:9">
      <c r="A90" s="63" t="s">
        <v>2343</v>
      </c>
      <c r="D90" s="66">
        <f>D69+SUM(D74:D78)+D84+D86</f>
        <v>75751</v>
      </c>
    </row>
    <row r="91" spans="1:9">
      <c r="A91" s="63" t="s">
        <v>2344</v>
      </c>
      <c r="D91" s="66">
        <f>SUM(D70:D73)+D82+D83+D85+D87+D88</f>
        <v>78406</v>
      </c>
    </row>
    <row r="92" spans="1:9">
      <c r="A92" s="63" t="s">
        <v>2348</v>
      </c>
      <c r="D92" s="66">
        <f>SUM(D79:D81)</f>
        <v>22598</v>
      </c>
      <c r="E92" s="66"/>
    </row>
    <row r="94" spans="1:9">
      <c r="A94" s="63" t="s">
        <v>855</v>
      </c>
    </row>
    <row r="95" spans="1:9">
      <c r="A95" s="63"/>
    </row>
    <row r="96" spans="1:9">
      <c r="A96" s="63"/>
    </row>
    <row r="97" spans="1:9">
      <c r="D97" s="10" t="s">
        <v>285</v>
      </c>
      <c r="E97" s="38"/>
      <c r="F97" s="38" t="s">
        <v>1842</v>
      </c>
    </row>
    <row r="98" spans="1:9">
      <c r="D98" s="39">
        <v>2016</v>
      </c>
      <c r="F98" s="41" t="s">
        <v>286</v>
      </c>
    </row>
    <row r="99" spans="1:9">
      <c r="A99" s="63" t="s">
        <v>467</v>
      </c>
      <c r="D99" s="66">
        <f>SUM(D100:D114)</f>
        <v>97951</v>
      </c>
    </row>
    <row r="100" spans="1:9">
      <c r="A100" s="63" t="s">
        <v>812</v>
      </c>
      <c r="B100" s="63" t="s">
        <v>856</v>
      </c>
      <c r="C100" s="1" t="s">
        <v>1217</v>
      </c>
      <c r="D100" s="7">
        <v>7494</v>
      </c>
      <c r="F100" s="63" t="s">
        <v>300</v>
      </c>
      <c r="G100" s="1"/>
      <c r="I100" s="1"/>
    </row>
    <row r="101" spans="1:9">
      <c r="A101" s="63" t="s">
        <v>813</v>
      </c>
      <c r="B101" s="63" t="s">
        <v>857</v>
      </c>
      <c r="C101" s="1" t="s">
        <v>1218</v>
      </c>
      <c r="D101" s="7">
        <v>7800</v>
      </c>
      <c r="F101" s="63" t="s">
        <v>300</v>
      </c>
      <c r="G101" s="1"/>
      <c r="I101" s="1"/>
    </row>
    <row r="102" spans="1:9">
      <c r="A102" s="63" t="s">
        <v>814</v>
      </c>
      <c r="B102" s="63" t="s">
        <v>858</v>
      </c>
      <c r="C102" s="1" t="s">
        <v>1219</v>
      </c>
      <c r="D102" s="7">
        <v>5578</v>
      </c>
      <c r="F102" s="63" t="s">
        <v>300</v>
      </c>
      <c r="G102" s="1"/>
      <c r="I102" s="1"/>
    </row>
    <row r="103" spans="1:9">
      <c r="A103" s="63" t="s">
        <v>815</v>
      </c>
      <c r="B103" s="63" t="s">
        <v>859</v>
      </c>
      <c r="C103" s="1" t="s">
        <v>1220</v>
      </c>
      <c r="D103" s="7">
        <v>5386</v>
      </c>
      <c r="F103" s="63" t="s">
        <v>298</v>
      </c>
      <c r="G103" s="1"/>
      <c r="I103" s="1"/>
    </row>
    <row r="104" spans="1:9">
      <c r="A104" s="63" t="s">
        <v>816</v>
      </c>
      <c r="B104" s="63" t="s">
        <v>860</v>
      </c>
      <c r="C104" s="1" t="s">
        <v>1221</v>
      </c>
      <c r="D104" s="7">
        <v>8040</v>
      </c>
      <c r="F104" s="63" t="s">
        <v>298</v>
      </c>
      <c r="G104" s="1"/>
      <c r="I104" s="1"/>
    </row>
    <row r="105" spans="1:9">
      <c r="A105" s="63" t="s">
        <v>826</v>
      </c>
      <c r="B105" s="63" t="s">
        <v>672</v>
      </c>
      <c r="C105" s="1" t="s">
        <v>1222</v>
      </c>
      <c r="D105" s="7">
        <v>4854</v>
      </c>
      <c r="F105" s="63" t="s">
        <v>298</v>
      </c>
      <c r="G105" s="1"/>
      <c r="I105" s="1"/>
    </row>
    <row r="106" spans="1:9">
      <c r="A106" s="63" t="s">
        <v>827</v>
      </c>
      <c r="B106" s="63" t="s">
        <v>673</v>
      </c>
      <c r="C106" s="1" t="s">
        <v>1223</v>
      </c>
      <c r="D106" s="7">
        <v>5539</v>
      </c>
      <c r="F106" s="63" t="s">
        <v>298</v>
      </c>
      <c r="G106" s="1"/>
      <c r="I106" s="1"/>
    </row>
    <row r="107" spans="1:9">
      <c r="A107" s="63" t="s">
        <v>828</v>
      </c>
      <c r="B107" s="63" t="s">
        <v>625</v>
      </c>
      <c r="C107" s="1" t="s">
        <v>1224</v>
      </c>
      <c r="D107" s="7">
        <v>7930</v>
      </c>
      <c r="F107" s="63" t="s">
        <v>298</v>
      </c>
      <c r="G107" s="1"/>
      <c r="I107" s="1"/>
    </row>
    <row r="108" spans="1:9">
      <c r="A108" s="63" t="s">
        <v>829</v>
      </c>
      <c r="B108" s="63" t="s">
        <v>674</v>
      </c>
      <c r="C108" s="1" t="s">
        <v>1225</v>
      </c>
      <c r="D108" s="7">
        <v>5475</v>
      </c>
      <c r="F108" s="63" t="s">
        <v>298</v>
      </c>
      <c r="G108" s="1"/>
      <c r="I108" s="1"/>
    </row>
    <row r="109" spans="1:9">
      <c r="A109" s="63" t="s">
        <v>830</v>
      </c>
      <c r="B109" s="63" t="s">
        <v>468</v>
      </c>
      <c r="C109" s="1" t="s">
        <v>1226</v>
      </c>
      <c r="D109" s="7">
        <v>8393</v>
      </c>
      <c r="F109" s="63" t="s">
        <v>298</v>
      </c>
      <c r="G109" s="1"/>
      <c r="I109" s="1"/>
    </row>
    <row r="110" spans="1:9">
      <c r="A110" s="63" t="s">
        <v>831</v>
      </c>
      <c r="B110" s="63" t="s">
        <v>469</v>
      </c>
      <c r="C110" s="1" t="s">
        <v>1227</v>
      </c>
      <c r="D110" s="7">
        <v>5620</v>
      </c>
      <c r="F110" s="63" t="s">
        <v>300</v>
      </c>
      <c r="G110" s="1"/>
      <c r="I110" s="1"/>
    </row>
    <row r="111" spans="1:9">
      <c r="A111" s="77">
        <v>12</v>
      </c>
      <c r="B111" s="63" t="s">
        <v>470</v>
      </c>
      <c r="C111" s="1" t="s">
        <v>1228</v>
      </c>
      <c r="D111" s="7">
        <v>7062</v>
      </c>
      <c r="F111" s="63" t="s">
        <v>298</v>
      </c>
      <c r="G111" s="1"/>
      <c r="I111" s="1"/>
    </row>
    <row r="112" spans="1:9">
      <c r="A112" s="77">
        <v>13</v>
      </c>
      <c r="B112" s="63" t="s">
        <v>471</v>
      </c>
      <c r="C112" s="1" t="s">
        <v>1229</v>
      </c>
      <c r="D112" s="7">
        <v>7538</v>
      </c>
      <c r="F112" s="63" t="s">
        <v>298</v>
      </c>
      <c r="G112" s="1"/>
      <c r="I112" s="1"/>
    </row>
    <row r="113" spans="1:9">
      <c r="A113" s="77">
        <v>14</v>
      </c>
      <c r="B113" s="63" t="s">
        <v>213</v>
      </c>
      <c r="C113" s="1" t="s">
        <v>1230</v>
      </c>
      <c r="D113" s="7">
        <v>5037</v>
      </c>
      <c r="F113" s="63" t="s">
        <v>298</v>
      </c>
      <c r="G113" s="1"/>
      <c r="I113" s="1"/>
    </row>
    <row r="114" spans="1:9">
      <c r="A114" s="77">
        <v>15</v>
      </c>
      <c r="B114" s="63" t="s">
        <v>214</v>
      </c>
      <c r="C114" s="1" t="s">
        <v>1231</v>
      </c>
      <c r="D114" s="7">
        <v>6205</v>
      </c>
      <c r="F114" s="63" t="s">
        <v>298</v>
      </c>
      <c r="G114" s="1"/>
      <c r="I114" s="1"/>
    </row>
    <row r="115" spans="1:9">
      <c r="D115" s="72"/>
    </row>
    <row r="116" spans="1:9">
      <c r="A116" s="63" t="s">
        <v>298</v>
      </c>
      <c r="D116" s="66">
        <f>SUM(D103:D109)+SUM(D111:D114)</f>
        <v>71459</v>
      </c>
    </row>
    <row r="117" spans="1:9">
      <c r="A117" s="63" t="s">
        <v>215</v>
      </c>
      <c r="D117" s="66">
        <f>D100+D101+D102+D110</f>
        <v>26492</v>
      </c>
    </row>
    <row r="118" spans="1:9">
      <c r="A118" s="63"/>
      <c r="B118" s="63"/>
      <c r="D118" s="70"/>
    </row>
    <row r="119" spans="1:9">
      <c r="A119" s="63" t="s">
        <v>216</v>
      </c>
      <c r="B119" s="63"/>
      <c r="D119" s="70"/>
    </row>
    <row r="120" spans="1:9">
      <c r="A120" s="63"/>
      <c r="B120" s="63"/>
      <c r="D120" s="70"/>
    </row>
    <row r="121" spans="1:9">
      <c r="A121" s="63"/>
      <c r="B121" s="63"/>
      <c r="D121" s="70"/>
    </row>
    <row r="122" spans="1:9">
      <c r="D122" s="10" t="s">
        <v>285</v>
      </c>
      <c r="E122" s="38"/>
      <c r="F122" s="38" t="s">
        <v>1842</v>
      </c>
    </row>
    <row r="123" spans="1:9">
      <c r="D123" s="39">
        <v>2016</v>
      </c>
      <c r="F123" s="41" t="s">
        <v>286</v>
      </c>
    </row>
    <row r="124" spans="1:9">
      <c r="A124" s="63" t="s">
        <v>217</v>
      </c>
      <c r="D124" s="66">
        <f>SUM(D125:D156)</f>
        <v>107456</v>
      </c>
    </row>
    <row r="125" spans="1:9">
      <c r="A125" s="63" t="s">
        <v>812</v>
      </c>
      <c r="B125" s="63" t="s">
        <v>218</v>
      </c>
      <c r="C125" s="1" t="s">
        <v>1354</v>
      </c>
      <c r="D125" s="8">
        <v>2165</v>
      </c>
      <c r="F125" s="63" t="s">
        <v>297</v>
      </c>
      <c r="I125" s="1"/>
    </row>
    <row r="126" spans="1:9">
      <c r="A126" s="63" t="s">
        <v>813</v>
      </c>
      <c r="B126" s="63" t="s">
        <v>219</v>
      </c>
      <c r="C126" s="1" t="s">
        <v>1355</v>
      </c>
      <c r="D126" s="8">
        <v>3595</v>
      </c>
      <c r="F126" s="63" t="s">
        <v>297</v>
      </c>
      <c r="I126" s="1"/>
    </row>
    <row r="127" spans="1:9">
      <c r="A127" s="63" t="s">
        <v>814</v>
      </c>
      <c r="B127" s="63" t="s">
        <v>220</v>
      </c>
      <c r="C127" s="1" t="s">
        <v>1356</v>
      </c>
      <c r="D127" s="8">
        <v>1517</v>
      </c>
      <c r="F127" s="63" t="s">
        <v>297</v>
      </c>
      <c r="I127" s="1"/>
    </row>
    <row r="128" spans="1:9">
      <c r="A128" s="63" t="s">
        <v>815</v>
      </c>
      <c r="B128" s="63" t="s">
        <v>221</v>
      </c>
      <c r="C128" s="1" t="s">
        <v>1357</v>
      </c>
      <c r="D128" s="7">
        <v>5653</v>
      </c>
      <c r="F128" s="63" t="s">
        <v>295</v>
      </c>
      <c r="I128" s="1"/>
    </row>
    <row r="129" spans="1:9">
      <c r="A129" s="63" t="s">
        <v>816</v>
      </c>
      <c r="B129" s="63" t="s">
        <v>222</v>
      </c>
      <c r="C129" s="1" t="s">
        <v>1358</v>
      </c>
      <c r="D129" s="7">
        <v>5057</v>
      </c>
      <c r="F129" s="63" t="s">
        <v>295</v>
      </c>
      <c r="I129" s="1"/>
    </row>
    <row r="130" spans="1:9">
      <c r="A130" s="63" t="s">
        <v>826</v>
      </c>
      <c r="B130" s="63" t="s">
        <v>223</v>
      </c>
      <c r="C130" s="1" t="s">
        <v>1359</v>
      </c>
      <c r="D130" s="7">
        <v>1916</v>
      </c>
      <c r="F130" s="63" t="s">
        <v>295</v>
      </c>
      <c r="I130" s="1"/>
    </row>
    <row r="131" spans="1:9">
      <c r="A131" s="63" t="s">
        <v>827</v>
      </c>
      <c r="B131" s="63" t="s">
        <v>224</v>
      </c>
      <c r="C131" s="1" t="s">
        <v>1360</v>
      </c>
      <c r="D131" s="8">
        <v>3774</v>
      </c>
      <c r="F131" s="63" t="s">
        <v>297</v>
      </c>
      <c r="I131" s="1"/>
    </row>
    <row r="132" spans="1:9">
      <c r="A132" s="63" t="s">
        <v>828</v>
      </c>
      <c r="B132" s="63" t="s">
        <v>225</v>
      </c>
      <c r="C132" s="1" t="s">
        <v>1361</v>
      </c>
      <c r="D132" s="8">
        <v>1675</v>
      </c>
      <c r="F132" s="63" t="s">
        <v>297</v>
      </c>
      <c r="I132" s="1"/>
    </row>
    <row r="133" spans="1:9">
      <c r="A133" s="63" t="s">
        <v>829</v>
      </c>
      <c r="B133" s="63" t="s">
        <v>226</v>
      </c>
      <c r="C133" s="1" t="s">
        <v>1362</v>
      </c>
      <c r="D133" s="7">
        <v>1587</v>
      </c>
      <c r="F133" s="63" t="s">
        <v>295</v>
      </c>
      <c r="I133" s="1"/>
    </row>
    <row r="134" spans="1:9">
      <c r="A134" s="63" t="s">
        <v>830</v>
      </c>
      <c r="B134" s="63" t="s">
        <v>227</v>
      </c>
      <c r="C134" s="1" t="s">
        <v>1363</v>
      </c>
      <c r="D134" s="7">
        <v>4989</v>
      </c>
      <c r="F134" s="63" t="s">
        <v>295</v>
      </c>
      <c r="I134" s="1"/>
    </row>
    <row r="135" spans="1:9">
      <c r="A135" s="63" t="s">
        <v>831</v>
      </c>
      <c r="B135" s="63" t="s">
        <v>228</v>
      </c>
      <c r="C135" s="1" t="s">
        <v>1364</v>
      </c>
      <c r="D135" s="7">
        <v>5272</v>
      </c>
      <c r="F135" s="63" t="s">
        <v>295</v>
      </c>
      <c r="I135" s="1"/>
    </row>
    <row r="136" spans="1:9">
      <c r="A136" s="63" t="s">
        <v>832</v>
      </c>
      <c r="B136" s="63" t="s">
        <v>229</v>
      </c>
      <c r="C136" s="1" t="s">
        <v>1365</v>
      </c>
      <c r="D136" s="7">
        <v>5797</v>
      </c>
      <c r="F136" s="63" t="s">
        <v>295</v>
      </c>
      <c r="I136" s="1"/>
    </row>
    <row r="137" spans="1:9">
      <c r="A137" s="63" t="s">
        <v>833</v>
      </c>
      <c r="B137" s="63" t="s">
        <v>230</v>
      </c>
      <c r="C137" s="1" t="s">
        <v>1366</v>
      </c>
      <c r="D137" s="7">
        <v>4662</v>
      </c>
      <c r="F137" s="63" t="s">
        <v>295</v>
      </c>
      <c r="I137" s="1"/>
    </row>
    <row r="138" spans="1:9">
      <c r="A138" s="63" t="s">
        <v>834</v>
      </c>
      <c r="B138" s="63" t="s">
        <v>231</v>
      </c>
      <c r="C138" s="1" t="s">
        <v>1367</v>
      </c>
      <c r="D138" s="7">
        <v>5370</v>
      </c>
      <c r="F138" s="63" t="s">
        <v>295</v>
      </c>
      <c r="I138" s="1"/>
    </row>
    <row r="139" spans="1:9">
      <c r="A139" s="63" t="s">
        <v>835</v>
      </c>
      <c r="B139" s="63" t="s">
        <v>232</v>
      </c>
      <c r="C139" s="1" t="s">
        <v>1777</v>
      </c>
      <c r="D139" s="8">
        <v>1841</v>
      </c>
      <c r="F139" s="63" t="s">
        <v>297</v>
      </c>
      <c r="G139" s="20"/>
      <c r="I139" s="1"/>
    </row>
    <row r="140" spans="1:9">
      <c r="A140" s="63" t="s">
        <v>836</v>
      </c>
      <c r="B140" s="63" t="s">
        <v>233</v>
      </c>
      <c r="C140" s="1" t="s">
        <v>1778</v>
      </c>
      <c r="D140" s="8">
        <v>5232</v>
      </c>
      <c r="F140" s="63" t="s">
        <v>297</v>
      </c>
      <c r="I140" s="1"/>
    </row>
    <row r="141" spans="1:9">
      <c r="A141" s="63" t="s">
        <v>837</v>
      </c>
      <c r="B141" s="63" t="s">
        <v>234</v>
      </c>
      <c r="C141" s="1" t="s">
        <v>1368</v>
      </c>
      <c r="D141" s="8">
        <v>3782</v>
      </c>
      <c r="F141" s="63" t="s">
        <v>297</v>
      </c>
      <c r="I141" s="1"/>
    </row>
    <row r="142" spans="1:9">
      <c r="A142" s="63" t="s">
        <v>838</v>
      </c>
      <c r="B142" s="63" t="s">
        <v>235</v>
      </c>
      <c r="C142" s="1" t="s">
        <v>1369</v>
      </c>
      <c r="D142" s="8">
        <v>2007</v>
      </c>
      <c r="F142" s="63" t="s">
        <v>297</v>
      </c>
      <c r="I142" s="1"/>
    </row>
    <row r="143" spans="1:9">
      <c r="A143" s="63" t="s">
        <v>840</v>
      </c>
      <c r="B143" s="63" t="s">
        <v>208</v>
      </c>
      <c r="C143" s="1" t="s">
        <v>1370</v>
      </c>
      <c r="D143" s="7">
        <v>1716</v>
      </c>
      <c r="F143" s="63" t="s">
        <v>295</v>
      </c>
      <c r="I143" s="1"/>
    </row>
    <row r="144" spans="1:9">
      <c r="A144" s="63" t="s">
        <v>841</v>
      </c>
      <c r="B144" s="63" t="s">
        <v>211</v>
      </c>
      <c r="C144" s="1" t="s">
        <v>1371</v>
      </c>
      <c r="D144" s="8">
        <v>1798</v>
      </c>
      <c r="F144" s="63" t="s">
        <v>297</v>
      </c>
      <c r="I144" s="1"/>
    </row>
    <row r="145" spans="1:9">
      <c r="A145" s="63" t="s">
        <v>878</v>
      </c>
      <c r="B145" s="63" t="s">
        <v>209</v>
      </c>
      <c r="C145" s="1" t="s">
        <v>1779</v>
      </c>
      <c r="D145" s="7">
        <v>3410</v>
      </c>
      <c r="F145" s="63" t="s">
        <v>295</v>
      </c>
      <c r="I145" s="1"/>
    </row>
    <row r="146" spans="1:9">
      <c r="A146" s="63" t="s">
        <v>879</v>
      </c>
      <c r="B146" s="63" t="s">
        <v>210</v>
      </c>
      <c r="C146" s="1" t="s">
        <v>1372</v>
      </c>
      <c r="D146" s="7">
        <v>3874</v>
      </c>
      <c r="F146" s="63" t="s">
        <v>295</v>
      </c>
      <c r="I146" s="1"/>
    </row>
    <row r="147" spans="1:9">
      <c r="A147" s="63" t="s">
        <v>880</v>
      </c>
      <c r="B147" s="63" t="s">
        <v>212</v>
      </c>
      <c r="C147" s="1" t="s">
        <v>1373</v>
      </c>
      <c r="D147" s="7">
        <v>1681</v>
      </c>
      <c r="F147" s="63" t="s">
        <v>295</v>
      </c>
      <c r="I147" s="1"/>
    </row>
    <row r="148" spans="1:9">
      <c r="A148" s="63" t="s">
        <v>721</v>
      </c>
      <c r="B148" s="63" t="s">
        <v>746</v>
      </c>
      <c r="C148" s="1" t="s">
        <v>1374</v>
      </c>
      <c r="D148" s="8">
        <v>5920</v>
      </c>
      <c r="F148" s="63" t="s">
        <v>297</v>
      </c>
      <c r="I148" s="1"/>
    </row>
    <row r="149" spans="1:9">
      <c r="A149" s="63" t="s">
        <v>722</v>
      </c>
      <c r="B149" s="63" t="s">
        <v>675</v>
      </c>
      <c r="C149" s="1" t="s">
        <v>1375</v>
      </c>
      <c r="D149" s="7">
        <v>1903</v>
      </c>
      <c r="F149" s="63" t="s">
        <v>295</v>
      </c>
      <c r="I149" s="1"/>
    </row>
    <row r="150" spans="1:9">
      <c r="A150" s="63" t="s">
        <v>723</v>
      </c>
      <c r="B150" s="63" t="s">
        <v>676</v>
      </c>
      <c r="C150" s="1" t="s">
        <v>1376</v>
      </c>
      <c r="D150" s="7">
        <v>5335</v>
      </c>
      <c r="F150" s="63" t="s">
        <v>295</v>
      </c>
      <c r="I150" s="1"/>
    </row>
    <row r="151" spans="1:9">
      <c r="A151" s="63" t="s">
        <v>733</v>
      </c>
      <c r="B151" s="63" t="s">
        <v>677</v>
      </c>
      <c r="C151" s="1" t="s">
        <v>1377</v>
      </c>
      <c r="D151" s="8">
        <v>4487</v>
      </c>
      <c r="F151" s="63" t="s">
        <v>295</v>
      </c>
      <c r="I151" s="1"/>
    </row>
    <row r="152" spans="1:9">
      <c r="A152" s="63" t="s">
        <v>734</v>
      </c>
      <c r="B152" s="63" t="s">
        <v>678</v>
      </c>
      <c r="C152" s="1" t="s">
        <v>1378</v>
      </c>
      <c r="D152" s="8">
        <v>1970</v>
      </c>
      <c r="F152" s="63" t="s">
        <v>297</v>
      </c>
      <c r="I152" s="1"/>
    </row>
    <row r="153" spans="1:9">
      <c r="A153" s="63" t="s">
        <v>735</v>
      </c>
      <c r="B153" s="63" t="s">
        <v>679</v>
      </c>
      <c r="C153" s="1" t="s">
        <v>1379</v>
      </c>
      <c r="D153" s="8">
        <v>2066</v>
      </c>
      <c r="F153" s="63" t="s">
        <v>297</v>
      </c>
      <c r="I153" s="1"/>
    </row>
    <row r="154" spans="1:9">
      <c r="A154" s="63" t="s">
        <v>736</v>
      </c>
      <c r="B154" s="63" t="s">
        <v>680</v>
      </c>
      <c r="C154" s="1" t="s">
        <v>1780</v>
      </c>
      <c r="D154" s="8">
        <v>1930</v>
      </c>
      <c r="F154" s="63" t="s">
        <v>295</v>
      </c>
      <c r="I154" s="1"/>
    </row>
    <row r="155" spans="1:9">
      <c r="A155" s="63" t="s">
        <v>931</v>
      </c>
      <c r="B155" s="63" t="s">
        <v>681</v>
      </c>
      <c r="C155" s="1" t="s">
        <v>1380</v>
      </c>
      <c r="D155" s="8">
        <v>3493</v>
      </c>
      <c r="F155" s="63" t="s">
        <v>295</v>
      </c>
      <c r="G155" s="1"/>
      <c r="I155" s="1"/>
    </row>
    <row r="156" spans="1:9">
      <c r="A156" s="63" t="s">
        <v>932</v>
      </c>
      <c r="B156" s="63" t="s">
        <v>682</v>
      </c>
      <c r="C156" s="1" t="s">
        <v>1381</v>
      </c>
      <c r="D156" s="8">
        <v>1982</v>
      </c>
      <c r="F156" s="63" t="s">
        <v>297</v>
      </c>
      <c r="G156" s="1"/>
      <c r="I156" s="1"/>
    </row>
    <row r="157" spans="1:9">
      <c r="D157" s="72"/>
    </row>
    <row r="158" spans="1:9">
      <c r="A158" s="63" t="s">
        <v>684</v>
      </c>
      <c r="D158" s="66">
        <f>SUM(D128:D130)+SUM(D133:D138)+D143+SUM(D145:D147)+SUM(D149:D151)+D154+D155</f>
        <v>68132</v>
      </c>
    </row>
    <row r="159" spans="1:9">
      <c r="A159" s="63" t="s">
        <v>685</v>
      </c>
      <c r="D159" s="66">
        <f>SUM(D125:D127)+D131+D132+SUM(D139:D142)+D144+D148+D152+D153+D156</f>
        <v>39324</v>
      </c>
    </row>
    <row r="160" spans="1:9">
      <c r="A160" s="63"/>
      <c r="D160" s="66"/>
    </row>
    <row r="161" spans="1:9">
      <c r="A161" s="63" t="s">
        <v>1786</v>
      </c>
      <c r="D161" s="66"/>
    </row>
    <row r="162" spans="1:9">
      <c r="A162" s="63" t="s">
        <v>1787</v>
      </c>
      <c r="B162" s="63"/>
      <c r="D162" s="70"/>
    </row>
    <row r="163" spans="1:9">
      <c r="A163" s="63"/>
      <c r="B163" s="63"/>
      <c r="D163" s="70"/>
    </row>
    <row r="164" spans="1:9">
      <c r="A164" s="63"/>
      <c r="B164" s="63"/>
      <c r="D164" s="70"/>
    </row>
    <row r="165" spans="1:9">
      <c r="D165" s="10" t="s">
        <v>285</v>
      </c>
      <c r="E165" s="38"/>
      <c r="F165" s="38" t="s">
        <v>1842</v>
      </c>
    </row>
    <row r="166" spans="1:9">
      <c r="D166" s="39">
        <v>2016</v>
      </c>
      <c r="F166" s="41" t="s">
        <v>286</v>
      </c>
    </row>
    <row r="167" spans="1:9">
      <c r="A167" s="63" t="s">
        <v>686</v>
      </c>
      <c r="D167" s="66">
        <f>SUM(D168:D185)</f>
        <v>81231</v>
      </c>
    </row>
    <row r="168" spans="1:9">
      <c r="A168" s="63" t="s">
        <v>812</v>
      </c>
      <c r="B168" s="63" t="s">
        <v>687</v>
      </c>
      <c r="C168" s="1" t="s">
        <v>1382</v>
      </c>
      <c r="D168" s="7">
        <v>6189</v>
      </c>
      <c r="F168" s="63" t="s">
        <v>95</v>
      </c>
      <c r="G168" s="19"/>
      <c r="I168" s="1"/>
    </row>
    <row r="169" spans="1:9">
      <c r="A169" s="63" t="s">
        <v>813</v>
      </c>
      <c r="B169" s="63" t="s">
        <v>688</v>
      </c>
      <c r="C169" s="1" t="s">
        <v>1383</v>
      </c>
      <c r="D169" s="7">
        <v>4247</v>
      </c>
      <c r="F169" s="63" t="s">
        <v>95</v>
      </c>
      <c r="G169" s="19"/>
      <c r="I169" s="1"/>
    </row>
    <row r="170" spans="1:9">
      <c r="A170" s="63" t="s">
        <v>814</v>
      </c>
      <c r="B170" s="63" t="s">
        <v>689</v>
      </c>
      <c r="C170" s="1" t="s">
        <v>1384</v>
      </c>
      <c r="D170" s="7">
        <v>2218</v>
      </c>
      <c r="F170" s="63" t="s">
        <v>95</v>
      </c>
      <c r="G170" s="19"/>
      <c r="I170" s="1"/>
    </row>
    <row r="171" spans="1:9">
      <c r="A171" s="63" t="s">
        <v>815</v>
      </c>
      <c r="B171" s="63" t="s">
        <v>690</v>
      </c>
      <c r="C171" s="1" t="s">
        <v>1385</v>
      </c>
      <c r="D171" s="7">
        <v>6138</v>
      </c>
      <c r="F171" s="63" t="s">
        <v>95</v>
      </c>
      <c r="G171" s="19"/>
      <c r="I171" s="1"/>
    </row>
    <row r="172" spans="1:9">
      <c r="A172" s="63" t="s">
        <v>816</v>
      </c>
      <c r="B172" s="63" t="s">
        <v>691</v>
      </c>
      <c r="C172" s="1" t="s">
        <v>1386</v>
      </c>
      <c r="D172" s="7">
        <v>3997</v>
      </c>
      <c r="F172" s="63" t="s">
        <v>95</v>
      </c>
      <c r="G172" s="19"/>
      <c r="I172" s="1"/>
    </row>
    <row r="173" spans="1:9">
      <c r="A173" s="63" t="s">
        <v>826</v>
      </c>
      <c r="B173" s="64" t="s">
        <v>692</v>
      </c>
      <c r="C173" s="1" t="s">
        <v>1387</v>
      </c>
      <c r="D173" s="7">
        <v>3952</v>
      </c>
      <c r="F173" s="63" t="s">
        <v>95</v>
      </c>
      <c r="G173" s="19"/>
      <c r="I173" s="1"/>
    </row>
    <row r="174" spans="1:9">
      <c r="A174" s="63" t="s">
        <v>827</v>
      </c>
      <c r="B174" s="63" t="s">
        <v>1004</v>
      </c>
      <c r="C174" s="1" t="s">
        <v>1388</v>
      </c>
      <c r="D174" s="7">
        <v>3523</v>
      </c>
      <c r="F174" s="63" t="s">
        <v>95</v>
      </c>
      <c r="G174" s="19"/>
      <c r="I174" s="1"/>
    </row>
    <row r="175" spans="1:9">
      <c r="A175" s="63" t="s">
        <v>828</v>
      </c>
      <c r="B175" s="63" t="s">
        <v>499</v>
      </c>
      <c r="C175" s="1" t="s">
        <v>1389</v>
      </c>
      <c r="D175" s="7">
        <v>3855</v>
      </c>
      <c r="F175" s="63" t="s">
        <v>95</v>
      </c>
      <c r="G175" s="19"/>
      <c r="I175" s="1"/>
    </row>
    <row r="176" spans="1:9">
      <c r="A176" s="63" t="s">
        <v>829</v>
      </c>
      <c r="B176" s="63" t="s">
        <v>500</v>
      </c>
      <c r="C176" s="1" t="s">
        <v>1390</v>
      </c>
      <c r="D176" s="7">
        <v>4984</v>
      </c>
      <c r="F176" s="63" t="s">
        <v>95</v>
      </c>
      <c r="G176" s="19"/>
      <c r="I176" s="1"/>
    </row>
    <row r="177" spans="1:9">
      <c r="A177" s="63" t="s">
        <v>830</v>
      </c>
      <c r="B177" s="63" t="s">
        <v>501</v>
      </c>
      <c r="C177" s="1" t="s">
        <v>1391</v>
      </c>
      <c r="D177" s="7">
        <v>4167</v>
      </c>
      <c r="F177" s="63" t="s">
        <v>95</v>
      </c>
      <c r="G177" s="19"/>
      <c r="I177" s="1"/>
    </row>
    <row r="178" spans="1:9">
      <c r="A178" s="63" t="s">
        <v>831</v>
      </c>
      <c r="B178" s="63" t="s">
        <v>502</v>
      </c>
      <c r="C178" s="1" t="s">
        <v>1392</v>
      </c>
      <c r="D178" s="7">
        <v>6468</v>
      </c>
      <c r="F178" s="63" t="s">
        <v>95</v>
      </c>
      <c r="G178" s="19"/>
      <c r="I178" s="1"/>
    </row>
    <row r="179" spans="1:9">
      <c r="A179" s="63" t="s">
        <v>832</v>
      </c>
      <c r="B179" s="63" t="s">
        <v>503</v>
      </c>
      <c r="C179" s="1" t="s">
        <v>1393</v>
      </c>
      <c r="D179" s="7">
        <v>3863</v>
      </c>
      <c r="F179" s="63" t="s">
        <v>95</v>
      </c>
      <c r="G179" s="19"/>
      <c r="I179" s="1"/>
    </row>
    <row r="180" spans="1:9">
      <c r="A180" s="63" t="s">
        <v>833</v>
      </c>
      <c r="B180" s="64" t="s">
        <v>504</v>
      </c>
      <c r="C180" s="1" t="s">
        <v>1394</v>
      </c>
      <c r="D180" s="7">
        <v>3908</v>
      </c>
      <c r="F180" s="63" t="s">
        <v>95</v>
      </c>
      <c r="G180" s="19"/>
      <c r="I180" s="1"/>
    </row>
    <row r="181" spans="1:9">
      <c r="A181" s="63" t="s">
        <v>834</v>
      </c>
      <c r="B181" s="63" t="s">
        <v>662</v>
      </c>
      <c r="C181" s="1" t="s">
        <v>1395</v>
      </c>
      <c r="D181" s="8">
        <v>3710</v>
      </c>
      <c r="F181" s="63" t="s">
        <v>95</v>
      </c>
      <c r="G181" s="20"/>
      <c r="I181" s="1"/>
    </row>
    <row r="182" spans="1:9">
      <c r="A182" s="63" t="s">
        <v>835</v>
      </c>
      <c r="B182" s="63" t="s">
        <v>505</v>
      </c>
      <c r="C182" s="1" t="s">
        <v>1396</v>
      </c>
      <c r="D182" s="7">
        <v>4604</v>
      </c>
      <c r="F182" s="63" t="s">
        <v>295</v>
      </c>
      <c r="G182" s="19"/>
      <c r="I182" s="1"/>
    </row>
    <row r="183" spans="1:9">
      <c r="A183" s="63" t="s">
        <v>836</v>
      </c>
      <c r="B183" s="63" t="s">
        <v>506</v>
      </c>
      <c r="C183" s="1" t="s">
        <v>1397</v>
      </c>
      <c r="D183" s="8">
        <v>4588</v>
      </c>
      <c r="F183" s="63" t="s">
        <v>95</v>
      </c>
      <c r="G183" s="20"/>
      <c r="I183" s="1"/>
    </row>
    <row r="184" spans="1:9">
      <c r="A184" s="63" t="s">
        <v>837</v>
      </c>
      <c r="B184" s="63" t="s">
        <v>507</v>
      </c>
      <c r="C184" s="1" t="s">
        <v>1398</v>
      </c>
      <c r="D184" s="7">
        <v>5223</v>
      </c>
      <c r="F184" s="63" t="s">
        <v>295</v>
      </c>
      <c r="G184" s="19"/>
      <c r="I184" s="1"/>
    </row>
    <row r="185" spans="1:9">
      <c r="A185" s="63" t="s">
        <v>838</v>
      </c>
      <c r="B185" s="63" t="s">
        <v>508</v>
      </c>
      <c r="C185" s="1" t="s">
        <v>1399</v>
      </c>
      <c r="D185" s="8">
        <v>5597</v>
      </c>
      <c r="F185" s="63" t="s">
        <v>95</v>
      </c>
      <c r="G185" s="20"/>
      <c r="I185" s="1"/>
    </row>
    <row r="186" spans="1:9">
      <c r="A186" s="63"/>
      <c r="B186" s="63"/>
      <c r="C186" s="63"/>
      <c r="D186" s="66"/>
      <c r="F186" s="63"/>
    </row>
    <row r="187" spans="1:9">
      <c r="A187" s="63" t="s">
        <v>684</v>
      </c>
      <c r="D187" s="66">
        <f>D182+D184</f>
        <v>9827</v>
      </c>
    </row>
    <row r="188" spans="1:9">
      <c r="A188" s="63" t="s">
        <v>95</v>
      </c>
      <c r="D188" s="66">
        <f>SUM(D168:D181)+D183+D185</f>
        <v>71404</v>
      </c>
    </row>
    <row r="189" spans="1:9">
      <c r="A189" s="63"/>
      <c r="B189" s="63"/>
      <c r="D189" s="70"/>
    </row>
    <row r="190" spans="1:9">
      <c r="A190" s="63" t="s">
        <v>509</v>
      </c>
      <c r="B190" s="63"/>
      <c r="D190" s="70"/>
    </row>
    <row r="191" spans="1:9">
      <c r="A191" s="63"/>
      <c r="B191" s="63"/>
      <c r="D191" s="70"/>
    </row>
    <row r="192" spans="1:9">
      <c r="A192" s="63"/>
      <c r="B192" s="63"/>
      <c r="D192" s="70"/>
    </row>
    <row r="193" spans="1:9">
      <c r="D193" s="10" t="s">
        <v>285</v>
      </c>
      <c r="E193" s="38"/>
      <c r="F193" s="38" t="s">
        <v>1842</v>
      </c>
    </row>
    <row r="194" spans="1:9">
      <c r="D194" s="39">
        <v>2016</v>
      </c>
      <c r="F194" s="41" t="s">
        <v>286</v>
      </c>
    </row>
    <row r="195" spans="1:9">
      <c r="A195" s="63" t="s">
        <v>510</v>
      </c>
      <c r="D195" s="66">
        <f>SUM(D196:D219)</f>
        <v>57917</v>
      </c>
    </row>
    <row r="196" spans="1:9">
      <c r="A196" s="63" t="s">
        <v>812</v>
      </c>
      <c r="B196" s="63" t="s">
        <v>511</v>
      </c>
      <c r="C196" s="1" t="s">
        <v>1783</v>
      </c>
      <c r="D196" s="7">
        <v>2798</v>
      </c>
      <c r="F196" s="63" t="s">
        <v>290</v>
      </c>
      <c r="G196" s="1"/>
      <c r="I196" s="1"/>
    </row>
    <row r="197" spans="1:9">
      <c r="A197" s="63" t="s">
        <v>813</v>
      </c>
      <c r="B197" s="63" t="s">
        <v>512</v>
      </c>
      <c r="C197" s="1" t="s">
        <v>1400</v>
      </c>
      <c r="D197" s="7">
        <v>1491</v>
      </c>
      <c r="F197" s="63" t="s">
        <v>290</v>
      </c>
      <c r="G197" s="1"/>
      <c r="I197" s="1"/>
    </row>
    <row r="198" spans="1:9">
      <c r="A198" s="63" t="s">
        <v>814</v>
      </c>
      <c r="B198" s="63" t="s">
        <v>513</v>
      </c>
      <c r="C198" s="1" t="s">
        <v>1401</v>
      </c>
      <c r="D198" s="7">
        <v>1288</v>
      </c>
      <c r="F198" s="63" t="s">
        <v>290</v>
      </c>
      <c r="G198" s="1"/>
      <c r="I198" s="1"/>
    </row>
    <row r="199" spans="1:9">
      <c r="A199" s="63" t="s">
        <v>815</v>
      </c>
      <c r="B199" s="63" t="s">
        <v>514</v>
      </c>
      <c r="C199" s="1" t="s">
        <v>1402</v>
      </c>
      <c r="D199" s="7">
        <v>2520</v>
      </c>
      <c r="F199" s="63" t="s">
        <v>297</v>
      </c>
      <c r="G199" s="1"/>
      <c r="I199" s="1"/>
    </row>
    <row r="200" spans="1:9">
      <c r="A200" s="63" t="s">
        <v>816</v>
      </c>
      <c r="B200" s="63" t="s">
        <v>883</v>
      </c>
      <c r="C200" s="1" t="s">
        <v>1403</v>
      </c>
      <c r="D200" s="7">
        <v>2924</v>
      </c>
      <c r="F200" s="63" t="s">
        <v>297</v>
      </c>
      <c r="G200" s="1"/>
      <c r="I200" s="1"/>
    </row>
    <row r="201" spans="1:9">
      <c r="A201" s="63" t="s">
        <v>826</v>
      </c>
      <c r="B201" s="63" t="s">
        <v>515</v>
      </c>
      <c r="C201" s="1" t="s">
        <v>1404</v>
      </c>
      <c r="D201" s="7">
        <v>2720</v>
      </c>
      <c r="F201" s="63" t="s">
        <v>297</v>
      </c>
      <c r="G201" s="1"/>
      <c r="I201" s="1"/>
    </row>
    <row r="202" spans="1:9">
      <c r="A202" s="63" t="s">
        <v>827</v>
      </c>
      <c r="B202" s="63" t="s">
        <v>257</v>
      </c>
      <c r="C202" s="1" t="s">
        <v>1405</v>
      </c>
      <c r="D202" s="8">
        <v>3784</v>
      </c>
      <c r="F202" s="63" t="s">
        <v>297</v>
      </c>
      <c r="G202" s="1"/>
      <c r="I202" s="1"/>
    </row>
    <row r="203" spans="1:9">
      <c r="A203" s="63" t="s">
        <v>828</v>
      </c>
      <c r="B203" s="63" t="s">
        <v>258</v>
      </c>
      <c r="C203" s="1" t="s">
        <v>1406</v>
      </c>
      <c r="D203" s="8">
        <v>2924</v>
      </c>
      <c r="F203" s="63" t="s">
        <v>297</v>
      </c>
      <c r="G203" s="1"/>
      <c r="I203" s="1"/>
    </row>
    <row r="204" spans="1:9">
      <c r="A204" s="63" t="s">
        <v>829</v>
      </c>
      <c r="B204" s="63" t="s">
        <v>259</v>
      </c>
      <c r="C204" s="1" t="s">
        <v>1407</v>
      </c>
      <c r="D204" s="8">
        <v>1440</v>
      </c>
      <c r="F204" s="63" t="s">
        <v>297</v>
      </c>
      <c r="G204" s="1"/>
      <c r="I204" s="1"/>
    </row>
    <row r="205" spans="1:9">
      <c r="A205" s="63" t="s">
        <v>830</v>
      </c>
      <c r="B205" s="63" t="s">
        <v>1838</v>
      </c>
      <c r="C205" s="1" t="s">
        <v>1408</v>
      </c>
      <c r="D205" s="8">
        <v>3001</v>
      </c>
      <c r="F205" s="63" t="s">
        <v>297</v>
      </c>
      <c r="G205" s="1"/>
      <c r="I205" s="1"/>
    </row>
    <row r="206" spans="1:9">
      <c r="A206" s="63" t="s">
        <v>831</v>
      </c>
      <c r="B206" s="63" t="s">
        <v>260</v>
      </c>
      <c r="C206" s="1" t="s">
        <v>1409</v>
      </c>
      <c r="D206" s="8">
        <v>1504</v>
      </c>
      <c r="F206" s="63" t="s">
        <v>297</v>
      </c>
      <c r="G206" s="1"/>
      <c r="I206" s="1"/>
    </row>
    <row r="207" spans="1:9">
      <c r="A207" s="63" t="s">
        <v>832</v>
      </c>
      <c r="B207" s="63" t="s">
        <v>261</v>
      </c>
      <c r="C207" s="1" t="s">
        <v>1410</v>
      </c>
      <c r="D207" s="7">
        <v>2761</v>
      </c>
      <c r="F207" s="63" t="s">
        <v>290</v>
      </c>
      <c r="G207" s="1"/>
      <c r="I207" s="1"/>
    </row>
    <row r="208" spans="1:9">
      <c r="A208" s="63" t="s">
        <v>833</v>
      </c>
      <c r="B208" s="63" t="s">
        <v>262</v>
      </c>
      <c r="C208" s="1" t="s">
        <v>1411</v>
      </c>
      <c r="D208" s="8">
        <v>4354</v>
      </c>
      <c r="F208" s="63" t="s">
        <v>297</v>
      </c>
      <c r="G208" s="1"/>
      <c r="I208" s="1"/>
    </row>
    <row r="209" spans="1:9">
      <c r="A209" s="63" t="s">
        <v>834</v>
      </c>
      <c r="B209" s="63" t="s">
        <v>263</v>
      </c>
      <c r="C209" s="1" t="s">
        <v>1412</v>
      </c>
      <c r="D209" s="8">
        <v>4380</v>
      </c>
      <c r="F209" s="63" t="s">
        <v>297</v>
      </c>
      <c r="G209" s="1"/>
      <c r="I209" s="1"/>
    </row>
    <row r="210" spans="1:9">
      <c r="A210" s="63" t="s">
        <v>835</v>
      </c>
      <c r="B210" s="63" t="s">
        <v>264</v>
      </c>
      <c r="C210" s="1" t="s">
        <v>1836</v>
      </c>
      <c r="D210" s="7">
        <v>1195</v>
      </c>
      <c r="F210" s="63" t="s">
        <v>290</v>
      </c>
      <c r="G210" s="1"/>
      <c r="I210" s="1"/>
    </row>
    <row r="211" spans="1:9">
      <c r="A211" s="63" t="s">
        <v>836</v>
      </c>
      <c r="B211" s="63" t="s">
        <v>265</v>
      </c>
      <c r="C211" s="1" t="s">
        <v>1413</v>
      </c>
      <c r="D211" s="7">
        <v>2653</v>
      </c>
      <c r="F211" s="63" t="s">
        <v>290</v>
      </c>
      <c r="G211" s="1"/>
      <c r="I211" s="1"/>
    </row>
    <row r="212" spans="1:9">
      <c r="A212" s="63" t="s">
        <v>837</v>
      </c>
      <c r="B212" s="63" t="s">
        <v>266</v>
      </c>
      <c r="C212" s="1" t="s">
        <v>1414</v>
      </c>
      <c r="D212" s="7">
        <v>1469</v>
      </c>
      <c r="F212" s="63" t="s">
        <v>290</v>
      </c>
      <c r="G212" s="1"/>
      <c r="I212" s="1"/>
    </row>
    <row r="213" spans="1:9">
      <c r="A213" s="63" t="s">
        <v>838</v>
      </c>
      <c r="B213" s="63" t="s">
        <v>267</v>
      </c>
      <c r="C213" s="1" t="s">
        <v>1415</v>
      </c>
      <c r="D213" s="7">
        <v>1297</v>
      </c>
      <c r="F213" s="63" t="s">
        <v>290</v>
      </c>
      <c r="G213" s="1"/>
      <c r="I213" s="1"/>
    </row>
    <row r="214" spans="1:9">
      <c r="A214" s="63" t="s">
        <v>840</v>
      </c>
      <c r="B214" s="63" t="s">
        <v>268</v>
      </c>
      <c r="C214" s="1" t="s">
        <v>1416</v>
      </c>
      <c r="D214" s="7">
        <v>1315</v>
      </c>
      <c r="F214" s="63" t="s">
        <v>290</v>
      </c>
      <c r="G214" s="1"/>
      <c r="I214" s="1"/>
    </row>
    <row r="215" spans="1:9">
      <c r="A215" s="63" t="s">
        <v>841</v>
      </c>
      <c r="B215" s="63" t="s">
        <v>269</v>
      </c>
      <c r="C215" s="1" t="s">
        <v>1417</v>
      </c>
      <c r="D215" s="8">
        <v>3194</v>
      </c>
      <c r="F215" s="63" t="s">
        <v>297</v>
      </c>
      <c r="G215" s="1"/>
      <c r="I215" s="1"/>
    </row>
    <row r="216" spans="1:9">
      <c r="A216" s="63" t="s">
        <v>878</v>
      </c>
      <c r="B216" s="63" t="s">
        <v>75</v>
      </c>
      <c r="C216" s="1" t="s">
        <v>1418</v>
      </c>
      <c r="D216" s="7">
        <v>1334</v>
      </c>
      <c r="F216" s="63" t="s">
        <v>290</v>
      </c>
      <c r="G216" s="1"/>
      <c r="I216" s="1"/>
    </row>
    <row r="217" spans="1:9">
      <c r="A217" s="63" t="s">
        <v>879</v>
      </c>
      <c r="B217" s="63" t="s">
        <v>76</v>
      </c>
      <c r="C217" s="1" t="s">
        <v>1419</v>
      </c>
      <c r="D217" s="7">
        <v>1213</v>
      </c>
      <c r="F217" s="63" t="s">
        <v>290</v>
      </c>
      <c r="G217" s="1"/>
      <c r="I217" s="1"/>
    </row>
    <row r="218" spans="1:9">
      <c r="A218" s="63" t="s">
        <v>880</v>
      </c>
      <c r="B218" s="63" t="s">
        <v>77</v>
      </c>
      <c r="C218" s="1" t="s">
        <v>1420</v>
      </c>
      <c r="D218" s="8">
        <v>3749</v>
      </c>
      <c r="F218" s="63" t="s">
        <v>297</v>
      </c>
      <c r="G218" s="1"/>
      <c r="I218" s="1"/>
    </row>
    <row r="219" spans="1:9">
      <c r="A219" s="63" t="s">
        <v>721</v>
      </c>
      <c r="B219" s="63" t="s">
        <v>78</v>
      </c>
      <c r="C219" s="1" t="s">
        <v>2322</v>
      </c>
      <c r="D219" s="7">
        <v>2609</v>
      </c>
      <c r="F219" s="63" t="s">
        <v>290</v>
      </c>
      <c r="G219" s="1"/>
      <c r="I219" s="1"/>
    </row>
    <row r="220" spans="1:9">
      <c r="D220" s="66"/>
    </row>
    <row r="221" spans="1:9">
      <c r="A221" s="63" t="s">
        <v>683</v>
      </c>
      <c r="D221" s="66">
        <f>SUM(D196:D198)+D207+SUM(D210:D214)+D216+D217+D219</f>
        <v>21423</v>
      </c>
    </row>
    <row r="222" spans="1:9">
      <c r="A222" s="63" t="s">
        <v>685</v>
      </c>
      <c r="D222" s="66">
        <f>SUM(D199:D206)+D208+D209+D215+D218</f>
        <v>36494</v>
      </c>
    </row>
    <row r="223" spans="1:9">
      <c r="A223" s="63"/>
      <c r="D223" s="66"/>
    </row>
    <row r="224" spans="1:9">
      <c r="A224" s="63" t="s">
        <v>1784</v>
      </c>
      <c r="D224" s="66"/>
    </row>
    <row r="225" spans="1:9">
      <c r="A225" s="63" t="s">
        <v>1785</v>
      </c>
      <c r="D225" s="66"/>
    </row>
    <row r="226" spans="1:9">
      <c r="A226" s="63"/>
      <c r="B226" s="63"/>
      <c r="D226" s="70"/>
    </row>
    <row r="227" spans="1:9">
      <c r="A227" s="63"/>
      <c r="B227" s="63"/>
      <c r="D227" s="70"/>
    </row>
    <row r="228" spans="1:9">
      <c r="A228" s="63"/>
      <c r="B228" s="63"/>
      <c r="D228" s="70"/>
    </row>
    <row r="229" spans="1:9">
      <c r="D229" s="10" t="s">
        <v>285</v>
      </c>
      <c r="E229" s="38"/>
      <c r="F229" s="38" t="s">
        <v>1842</v>
      </c>
    </row>
    <row r="230" spans="1:9">
      <c r="D230" s="39">
        <v>2016</v>
      </c>
      <c r="F230" s="41" t="s">
        <v>286</v>
      </c>
    </row>
    <row r="231" spans="1:9">
      <c r="A231" s="63" t="s">
        <v>79</v>
      </c>
      <c r="D231" s="66">
        <f>SUM(D232:D258)</f>
        <v>73240</v>
      </c>
    </row>
    <row r="232" spans="1:9">
      <c r="A232" s="63" t="s">
        <v>812</v>
      </c>
      <c r="B232" s="63" t="s">
        <v>80</v>
      </c>
      <c r="C232" s="1" t="s">
        <v>1421</v>
      </c>
      <c r="D232" s="7">
        <v>3523</v>
      </c>
      <c r="F232" s="63" t="s">
        <v>97</v>
      </c>
      <c r="G232" s="1"/>
      <c r="I232" s="1"/>
    </row>
    <row r="233" spans="1:9">
      <c r="A233" s="63" t="s">
        <v>813</v>
      </c>
      <c r="B233" s="63" t="s">
        <v>81</v>
      </c>
      <c r="C233" s="1" t="s">
        <v>1422</v>
      </c>
      <c r="D233" s="7">
        <v>1715</v>
      </c>
      <c r="F233" s="63" t="s">
        <v>97</v>
      </c>
      <c r="G233" s="1"/>
      <c r="I233" s="1"/>
    </row>
    <row r="234" spans="1:9">
      <c r="A234" s="63" t="s">
        <v>814</v>
      </c>
      <c r="B234" s="63" t="s">
        <v>82</v>
      </c>
      <c r="C234" s="1" t="s">
        <v>1423</v>
      </c>
      <c r="D234" s="7">
        <v>1668</v>
      </c>
      <c r="F234" s="63" t="s">
        <v>97</v>
      </c>
      <c r="G234" s="1"/>
      <c r="I234" s="1"/>
    </row>
    <row r="235" spans="1:9">
      <c r="A235" s="63" t="s">
        <v>815</v>
      </c>
      <c r="B235" s="63" t="s">
        <v>83</v>
      </c>
      <c r="C235" s="1" t="s">
        <v>1424</v>
      </c>
      <c r="D235" s="7">
        <v>3208</v>
      </c>
      <c r="F235" s="63" t="s">
        <v>97</v>
      </c>
      <c r="G235" s="1"/>
      <c r="I235" s="1"/>
    </row>
    <row r="236" spans="1:9">
      <c r="A236" s="63" t="s">
        <v>816</v>
      </c>
      <c r="B236" s="63" t="s">
        <v>84</v>
      </c>
      <c r="C236" s="1" t="s">
        <v>1425</v>
      </c>
      <c r="D236" s="7">
        <v>3403</v>
      </c>
      <c r="F236" s="63" t="s">
        <v>97</v>
      </c>
      <c r="G236" s="1"/>
      <c r="I236" s="1"/>
    </row>
    <row r="237" spans="1:9">
      <c r="A237" s="77">
        <v>6</v>
      </c>
      <c r="B237" s="63" t="s">
        <v>85</v>
      </c>
      <c r="C237" s="1" t="s">
        <v>1426</v>
      </c>
      <c r="D237" s="7">
        <v>3468</v>
      </c>
      <c r="F237" s="63" t="s">
        <v>97</v>
      </c>
      <c r="G237" s="1"/>
      <c r="I237" s="1"/>
    </row>
    <row r="238" spans="1:9">
      <c r="A238" s="77">
        <v>7</v>
      </c>
      <c r="B238" s="63" t="s">
        <v>86</v>
      </c>
      <c r="C238" s="1" t="s">
        <v>2039</v>
      </c>
      <c r="D238" s="7">
        <v>2010</v>
      </c>
      <c r="F238" s="63" t="s">
        <v>97</v>
      </c>
      <c r="G238" s="1"/>
      <c r="I238" s="1"/>
    </row>
    <row r="239" spans="1:9">
      <c r="A239" s="63" t="s">
        <v>828</v>
      </c>
      <c r="B239" s="63" t="s">
        <v>87</v>
      </c>
      <c r="C239" s="1" t="s">
        <v>1427</v>
      </c>
      <c r="D239" s="7">
        <v>1827</v>
      </c>
      <c r="F239" s="63" t="s">
        <v>97</v>
      </c>
      <c r="G239" s="1"/>
      <c r="I239" s="1"/>
    </row>
    <row r="240" spans="1:9">
      <c r="A240" s="63" t="s">
        <v>829</v>
      </c>
      <c r="B240" s="63" t="s">
        <v>88</v>
      </c>
      <c r="C240" s="1" t="s">
        <v>1428</v>
      </c>
      <c r="D240" s="7">
        <v>3243</v>
      </c>
      <c r="F240" s="63" t="s">
        <v>97</v>
      </c>
      <c r="G240" s="1"/>
      <c r="I240" s="1"/>
    </row>
    <row r="241" spans="1:9">
      <c r="A241" s="63" t="s">
        <v>830</v>
      </c>
      <c r="B241" s="63" t="s">
        <v>89</v>
      </c>
      <c r="C241" s="1" t="s">
        <v>1429</v>
      </c>
      <c r="D241" s="7">
        <v>3035</v>
      </c>
      <c r="F241" s="63" t="s">
        <v>97</v>
      </c>
      <c r="G241" s="1"/>
      <c r="I241" s="1"/>
    </row>
    <row r="242" spans="1:9">
      <c r="A242" s="63" t="s">
        <v>831</v>
      </c>
      <c r="B242" s="63" t="s">
        <v>90</v>
      </c>
      <c r="C242" s="1" t="s">
        <v>1430</v>
      </c>
      <c r="D242" s="7">
        <v>3609</v>
      </c>
      <c r="F242" s="63" t="s">
        <v>97</v>
      </c>
      <c r="G242" s="1"/>
      <c r="I242" s="1"/>
    </row>
    <row r="243" spans="1:9">
      <c r="A243" s="63" t="s">
        <v>832</v>
      </c>
      <c r="B243" s="63" t="s">
        <v>91</v>
      </c>
      <c r="C243" s="1" t="s">
        <v>1431</v>
      </c>
      <c r="D243" s="7">
        <v>2881</v>
      </c>
      <c r="F243" s="63" t="s">
        <v>97</v>
      </c>
      <c r="G243" s="1"/>
      <c r="I243" s="1"/>
    </row>
    <row r="244" spans="1:9">
      <c r="A244" s="63" t="s">
        <v>833</v>
      </c>
      <c r="B244" s="63" t="s">
        <v>92</v>
      </c>
      <c r="C244" s="1" t="s">
        <v>1432</v>
      </c>
      <c r="D244" s="7">
        <v>1522</v>
      </c>
      <c r="F244" s="63" t="s">
        <v>97</v>
      </c>
      <c r="G244" s="1"/>
      <c r="I244" s="1"/>
    </row>
    <row r="245" spans="1:9">
      <c r="A245" s="63" t="s">
        <v>834</v>
      </c>
      <c r="B245" s="63" t="s">
        <v>93</v>
      </c>
      <c r="C245" s="1" t="s">
        <v>1433</v>
      </c>
      <c r="D245" s="7">
        <v>3229</v>
      </c>
      <c r="F245" s="63" t="s">
        <v>97</v>
      </c>
      <c r="G245" s="1"/>
      <c r="I245" s="1"/>
    </row>
    <row r="246" spans="1:9">
      <c r="A246" s="63" t="s">
        <v>835</v>
      </c>
      <c r="B246" s="63" t="s">
        <v>99</v>
      </c>
      <c r="C246" s="1" t="s">
        <v>1434</v>
      </c>
      <c r="D246" s="7">
        <v>1972</v>
      </c>
      <c r="F246" s="63" t="s">
        <v>97</v>
      </c>
      <c r="G246" s="1"/>
      <c r="I246" s="1"/>
    </row>
    <row r="247" spans="1:9">
      <c r="A247" s="63" t="s">
        <v>836</v>
      </c>
      <c r="B247" s="63" t="s">
        <v>253</v>
      </c>
      <c r="C247" s="1" t="s">
        <v>1435</v>
      </c>
      <c r="D247" s="8">
        <v>3468</v>
      </c>
      <c r="F247" s="63" t="s">
        <v>97</v>
      </c>
      <c r="G247" s="1"/>
      <c r="I247" s="1"/>
    </row>
    <row r="248" spans="1:9">
      <c r="A248" s="63" t="s">
        <v>837</v>
      </c>
      <c r="B248" s="63" t="s">
        <v>254</v>
      </c>
      <c r="C248" s="1" t="s">
        <v>1436</v>
      </c>
      <c r="D248" s="8">
        <v>1244</v>
      </c>
      <c r="F248" s="63" t="s">
        <v>97</v>
      </c>
      <c r="G248" s="1"/>
      <c r="I248" s="1"/>
    </row>
    <row r="249" spans="1:9">
      <c r="A249" s="63" t="s">
        <v>838</v>
      </c>
      <c r="B249" s="63" t="s">
        <v>255</v>
      </c>
      <c r="C249" s="1" t="s">
        <v>2040</v>
      </c>
      <c r="D249" s="8">
        <v>4003</v>
      </c>
      <c r="F249" s="63" t="s">
        <v>97</v>
      </c>
      <c r="G249" s="1"/>
      <c r="I249" s="1"/>
    </row>
    <row r="250" spans="1:9">
      <c r="A250" s="63" t="s">
        <v>840</v>
      </c>
      <c r="B250" s="63" t="s">
        <v>999</v>
      </c>
      <c r="C250" s="1" t="s">
        <v>1437</v>
      </c>
      <c r="D250" s="8">
        <v>3378</v>
      </c>
      <c r="F250" s="63" t="s">
        <v>97</v>
      </c>
      <c r="G250" s="1"/>
      <c r="I250" s="1"/>
    </row>
    <row r="251" spans="1:9">
      <c r="A251" s="63" t="s">
        <v>841</v>
      </c>
      <c r="B251" s="63" t="s">
        <v>256</v>
      </c>
      <c r="C251" s="1" t="s">
        <v>1438</v>
      </c>
      <c r="D251" s="8">
        <v>1391</v>
      </c>
      <c r="F251" s="63" t="s">
        <v>97</v>
      </c>
      <c r="G251" s="1"/>
      <c r="I251" s="1"/>
    </row>
    <row r="252" spans="1:9">
      <c r="A252" s="63" t="s">
        <v>878</v>
      </c>
      <c r="B252" s="63" t="s">
        <v>473</v>
      </c>
      <c r="C252" s="1" t="s">
        <v>1439</v>
      </c>
      <c r="D252" s="8">
        <v>1565</v>
      </c>
      <c r="F252" s="63" t="s">
        <v>97</v>
      </c>
      <c r="G252" s="1"/>
      <c r="I252" s="1"/>
    </row>
    <row r="253" spans="1:9">
      <c r="A253" s="63" t="s">
        <v>879</v>
      </c>
      <c r="B253" s="63" t="s">
        <v>474</v>
      </c>
      <c r="C253" s="1" t="s">
        <v>1440</v>
      </c>
      <c r="D253" s="8">
        <v>3557</v>
      </c>
      <c r="F253" s="63" t="s">
        <v>97</v>
      </c>
      <c r="G253" s="1"/>
      <c r="I253" s="1"/>
    </row>
    <row r="254" spans="1:9">
      <c r="A254" s="63" t="s">
        <v>880</v>
      </c>
      <c r="B254" s="63" t="s">
        <v>475</v>
      </c>
      <c r="C254" s="1" t="s">
        <v>1441</v>
      </c>
      <c r="D254" s="8">
        <v>1753</v>
      </c>
      <c r="F254" s="63" t="s">
        <v>97</v>
      </c>
      <c r="G254" s="1"/>
      <c r="I254" s="1"/>
    </row>
    <row r="255" spans="1:9">
      <c r="A255" s="63" t="s">
        <v>721</v>
      </c>
      <c r="B255" s="63" t="s">
        <v>476</v>
      </c>
      <c r="C255" s="1" t="s">
        <v>1442</v>
      </c>
      <c r="D255" s="8">
        <v>3455</v>
      </c>
      <c r="F255" s="63" t="s">
        <v>97</v>
      </c>
      <c r="G255" s="1"/>
      <c r="I255" s="1"/>
    </row>
    <row r="256" spans="1:9">
      <c r="A256" s="63" t="s">
        <v>722</v>
      </c>
      <c r="B256" s="63" t="s">
        <v>477</v>
      </c>
      <c r="C256" s="1" t="s">
        <v>1443</v>
      </c>
      <c r="D256" s="8">
        <v>3904</v>
      </c>
      <c r="F256" s="63" t="s">
        <v>97</v>
      </c>
      <c r="G256" s="1"/>
      <c r="I256" s="1"/>
    </row>
    <row r="257" spans="1:9">
      <c r="A257" s="63" t="s">
        <v>723</v>
      </c>
      <c r="B257" s="63" t="s">
        <v>478</v>
      </c>
      <c r="C257" s="1" t="s">
        <v>1444</v>
      </c>
      <c r="D257" s="8">
        <v>1942</v>
      </c>
      <c r="F257" s="63" t="s">
        <v>97</v>
      </c>
      <c r="G257" s="1"/>
      <c r="I257" s="1"/>
    </row>
    <row r="258" spans="1:9">
      <c r="A258" s="63" t="s">
        <v>733</v>
      </c>
      <c r="B258" s="63" t="s">
        <v>479</v>
      </c>
      <c r="C258" s="1" t="s">
        <v>1445</v>
      </c>
      <c r="D258" s="8">
        <v>3267</v>
      </c>
      <c r="F258" s="63" t="s">
        <v>97</v>
      </c>
      <c r="G258" s="1"/>
      <c r="I258" s="1"/>
    </row>
    <row r="259" spans="1:9">
      <c r="D259" s="72"/>
    </row>
    <row r="260" spans="1:9">
      <c r="A260" s="63" t="s">
        <v>97</v>
      </c>
      <c r="D260" s="66">
        <f>SUM(D232:D258)</f>
        <v>73240</v>
      </c>
    </row>
    <row r="261" spans="1:9">
      <c r="A261" s="63"/>
      <c r="D261" s="66"/>
    </row>
    <row r="262" spans="1:9">
      <c r="A262" s="63" t="s">
        <v>480</v>
      </c>
      <c r="D262" s="66"/>
    </row>
    <row r="263" spans="1:9">
      <c r="A263" s="63" t="s">
        <v>2037</v>
      </c>
      <c r="B263" s="63"/>
      <c r="D263" s="70"/>
    </row>
    <row r="264" spans="1:9">
      <c r="A264" s="63" t="s">
        <v>2038</v>
      </c>
      <c r="B264" s="63"/>
      <c r="D264" s="70"/>
    </row>
    <row r="265" spans="1:9">
      <c r="A265" s="63"/>
      <c r="B265" s="63"/>
      <c r="D265" s="70"/>
    </row>
    <row r="266" spans="1:9">
      <c r="A266" s="63"/>
      <c r="B266" s="63"/>
      <c r="D266" s="70"/>
    </row>
    <row r="267" spans="1:9">
      <c r="D267" s="10" t="s">
        <v>285</v>
      </c>
      <c r="E267" s="38"/>
      <c r="F267" s="38" t="s">
        <v>1842</v>
      </c>
    </row>
    <row r="268" spans="1:9">
      <c r="D268" s="39">
        <v>2016</v>
      </c>
      <c r="F268" s="41" t="s">
        <v>286</v>
      </c>
    </row>
    <row r="269" spans="1:9">
      <c r="A269" s="63" t="s">
        <v>481</v>
      </c>
      <c r="D269" s="66">
        <f>SUM(D270:D289)</f>
        <v>65782</v>
      </c>
    </row>
    <row r="270" spans="1:9">
      <c r="A270" s="77">
        <v>1</v>
      </c>
      <c r="B270" s="63" t="s">
        <v>2022</v>
      </c>
      <c r="C270" s="1" t="s">
        <v>2041</v>
      </c>
      <c r="D270" s="7">
        <v>2306</v>
      </c>
      <c r="F270" s="63" t="s">
        <v>300</v>
      </c>
      <c r="G270" s="1"/>
      <c r="I270" s="1"/>
    </row>
    <row r="271" spans="1:9">
      <c r="A271" s="77">
        <v>2</v>
      </c>
      <c r="B271" s="63" t="s">
        <v>2023</v>
      </c>
      <c r="C271" s="1" t="s">
        <v>2042</v>
      </c>
      <c r="D271" s="7">
        <v>2197</v>
      </c>
      <c r="F271" s="63" t="s">
        <v>2345</v>
      </c>
      <c r="G271" s="1"/>
      <c r="I271" s="1"/>
    </row>
    <row r="272" spans="1:9">
      <c r="A272" s="77">
        <v>3</v>
      </c>
      <c r="B272" s="63" t="s">
        <v>2024</v>
      </c>
      <c r="C272" s="1" t="s">
        <v>2043</v>
      </c>
      <c r="D272" s="7">
        <v>1808</v>
      </c>
      <c r="F272" s="63" t="s">
        <v>300</v>
      </c>
      <c r="G272" s="1"/>
      <c r="I272" s="1"/>
    </row>
    <row r="273" spans="1:9">
      <c r="A273" s="77">
        <v>4</v>
      </c>
      <c r="B273" s="63" t="s">
        <v>242</v>
      </c>
      <c r="C273" s="1" t="s">
        <v>2044</v>
      </c>
      <c r="D273" s="7">
        <v>2217</v>
      </c>
      <c r="F273" s="63" t="s">
        <v>2345</v>
      </c>
      <c r="G273" s="1"/>
      <c r="I273" s="1"/>
    </row>
    <row r="274" spans="1:9">
      <c r="A274" s="77">
        <v>5</v>
      </c>
      <c r="B274" s="63" t="s">
        <v>2025</v>
      </c>
      <c r="C274" s="1" t="s">
        <v>2045</v>
      </c>
      <c r="D274" s="7">
        <v>1984</v>
      </c>
      <c r="F274" s="63" t="s">
        <v>300</v>
      </c>
      <c r="G274" s="1"/>
      <c r="I274" s="1"/>
    </row>
    <row r="275" spans="1:9">
      <c r="A275" s="77">
        <v>6</v>
      </c>
      <c r="B275" s="63" t="s">
        <v>2026</v>
      </c>
      <c r="C275" s="1" t="s">
        <v>2046</v>
      </c>
      <c r="D275" s="7">
        <v>6216</v>
      </c>
      <c r="F275" s="63" t="s">
        <v>300</v>
      </c>
      <c r="G275" s="1"/>
      <c r="I275" s="1"/>
    </row>
    <row r="276" spans="1:9">
      <c r="A276" s="77">
        <v>7</v>
      </c>
      <c r="B276" s="63" t="s">
        <v>2027</v>
      </c>
      <c r="C276" s="1" t="s">
        <v>2047</v>
      </c>
      <c r="D276" s="7">
        <v>2195</v>
      </c>
      <c r="F276" s="63" t="s">
        <v>2345</v>
      </c>
      <c r="G276" s="1"/>
      <c r="I276" s="1"/>
    </row>
    <row r="277" spans="1:9">
      <c r="A277" s="77">
        <v>8</v>
      </c>
      <c r="B277" s="63" t="s">
        <v>2028</v>
      </c>
      <c r="C277" s="1" t="s">
        <v>2048</v>
      </c>
      <c r="D277" s="7">
        <v>4201</v>
      </c>
      <c r="F277" s="63" t="s">
        <v>2345</v>
      </c>
      <c r="G277" s="1"/>
      <c r="I277" s="1"/>
    </row>
    <row r="278" spans="1:9">
      <c r="A278" s="77">
        <v>9</v>
      </c>
      <c r="B278" s="63" t="s">
        <v>2029</v>
      </c>
      <c r="C278" s="1" t="s">
        <v>2049</v>
      </c>
      <c r="D278" s="7">
        <v>4634</v>
      </c>
      <c r="F278" s="63" t="s">
        <v>2345</v>
      </c>
      <c r="G278" s="1"/>
      <c r="I278" s="1"/>
    </row>
    <row r="279" spans="1:9">
      <c r="A279" s="77">
        <v>10</v>
      </c>
      <c r="B279" s="63" t="s">
        <v>2030</v>
      </c>
      <c r="C279" s="1" t="s">
        <v>2050</v>
      </c>
      <c r="D279" s="7">
        <v>4454</v>
      </c>
      <c r="F279" s="63" t="s">
        <v>300</v>
      </c>
      <c r="G279" s="1"/>
      <c r="I279" s="1"/>
    </row>
    <row r="280" spans="1:9">
      <c r="A280" s="77">
        <v>11</v>
      </c>
      <c r="B280" s="63" t="s">
        <v>2031</v>
      </c>
      <c r="C280" s="1" t="s">
        <v>2051</v>
      </c>
      <c r="D280" s="7">
        <v>2054</v>
      </c>
      <c r="F280" s="63" t="s">
        <v>300</v>
      </c>
      <c r="G280" s="1"/>
      <c r="I280" s="1"/>
    </row>
    <row r="281" spans="1:9">
      <c r="A281" s="77">
        <v>12</v>
      </c>
      <c r="B281" s="63" t="s">
        <v>2323</v>
      </c>
      <c r="C281" s="1" t="s">
        <v>2052</v>
      </c>
      <c r="D281" s="8">
        <v>2293</v>
      </c>
      <c r="F281" s="63" t="s">
        <v>300</v>
      </c>
      <c r="G281" s="1"/>
      <c r="I281" s="1"/>
    </row>
    <row r="282" spans="1:9">
      <c r="A282" s="77">
        <v>13</v>
      </c>
      <c r="B282" s="63" t="s">
        <v>4037</v>
      </c>
      <c r="C282" s="1" t="s">
        <v>2053</v>
      </c>
      <c r="D282" s="7">
        <v>4785</v>
      </c>
      <c r="F282" s="63" t="s">
        <v>2345</v>
      </c>
      <c r="G282" s="1"/>
      <c r="I282" s="1"/>
    </row>
    <row r="283" spans="1:9">
      <c r="A283" s="77">
        <v>14</v>
      </c>
      <c r="B283" s="63" t="s">
        <v>2032</v>
      </c>
      <c r="C283" s="1" t="s">
        <v>2054</v>
      </c>
      <c r="D283" s="8">
        <v>3958</v>
      </c>
      <c r="F283" s="63" t="s">
        <v>300</v>
      </c>
      <c r="G283" s="1"/>
      <c r="I283" s="1"/>
    </row>
    <row r="284" spans="1:9">
      <c r="A284" s="77">
        <v>15</v>
      </c>
      <c r="B284" s="63" t="s">
        <v>862</v>
      </c>
      <c r="C284" s="1" t="s">
        <v>2055</v>
      </c>
      <c r="D284" s="8">
        <v>4075</v>
      </c>
      <c r="F284" s="63" t="s">
        <v>300</v>
      </c>
      <c r="G284" s="1"/>
      <c r="I284" s="1"/>
    </row>
    <row r="285" spans="1:9">
      <c r="A285" s="77">
        <v>16</v>
      </c>
      <c r="B285" s="63" t="s">
        <v>863</v>
      </c>
      <c r="C285" s="1" t="s">
        <v>2056</v>
      </c>
      <c r="D285" s="8">
        <v>2146</v>
      </c>
      <c r="F285" s="63" t="s">
        <v>300</v>
      </c>
      <c r="G285" s="1"/>
      <c r="I285" s="1"/>
    </row>
    <row r="286" spans="1:9">
      <c r="A286" s="77">
        <v>17</v>
      </c>
      <c r="B286" s="63" t="s">
        <v>2033</v>
      </c>
      <c r="C286" s="1" t="s">
        <v>2057</v>
      </c>
      <c r="D286" s="8">
        <v>6364</v>
      </c>
      <c r="F286" s="63" t="s">
        <v>300</v>
      </c>
      <c r="G286" s="1"/>
      <c r="I286" s="1"/>
    </row>
    <row r="287" spans="1:9">
      <c r="A287" s="77">
        <v>18</v>
      </c>
      <c r="B287" s="63" t="s">
        <v>2034</v>
      </c>
      <c r="C287" s="1" t="s">
        <v>2058</v>
      </c>
      <c r="D287" s="7">
        <v>3664</v>
      </c>
      <c r="F287" s="63" t="s">
        <v>2345</v>
      </c>
      <c r="G287" s="1"/>
      <c r="I287" s="1"/>
    </row>
    <row r="288" spans="1:9">
      <c r="A288" s="77">
        <v>19</v>
      </c>
      <c r="B288" s="63" t="s">
        <v>864</v>
      </c>
      <c r="C288" s="1" t="s">
        <v>2059</v>
      </c>
      <c r="D288" s="8">
        <v>2016</v>
      </c>
      <c r="F288" s="63" t="s">
        <v>300</v>
      </c>
      <c r="G288" s="1"/>
      <c r="I288" s="1"/>
    </row>
    <row r="289" spans="1:9">
      <c r="A289" s="77">
        <v>20</v>
      </c>
      <c r="B289" s="63" t="s">
        <v>2035</v>
      </c>
      <c r="C289" s="1" t="s">
        <v>2060</v>
      </c>
      <c r="D289" s="7">
        <v>2215</v>
      </c>
      <c r="F289" s="63" t="s">
        <v>2345</v>
      </c>
      <c r="G289" s="1"/>
      <c r="I289" s="1"/>
    </row>
    <row r="290" spans="1:9">
      <c r="A290" s="63"/>
      <c r="B290" s="63"/>
      <c r="D290" s="66"/>
      <c r="F290" s="63"/>
    </row>
    <row r="291" spans="1:9">
      <c r="A291" s="63" t="s">
        <v>2348</v>
      </c>
      <c r="D291" s="66">
        <f>D271+D273+SUM(D276:D278)+D282+D287+D289</f>
        <v>26108</v>
      </c>
    </row>
    <row r="292" spans="1:9">
      <c r="A292" s="63" t="s">
        <v>215</v>
      </c>
      <c r="D292" s="66">
        <f>D270+D272+D274+D275+SUM(D279:D281)+SUM(D283:D286)+D288</f>
        <v>39674</v>
      </c>
    </row>
    <row r="293" spans="1:9">
      <c r="A293" s="63"/>
      <c r="B293" s="63"/>
      <c r="D293" s="70"/>
    </row>
    <row r="294" spans="1:9">
      <c r="A294" s="63" t="s">
        <v>2036</v>
      </c>
      <c r="B294" s="63"/>
      <c r="D294" s="70"/>
    </row>
    <row r="296" spans="1:9">
      <c r="A296" s="63"/>
      <c r="B296" s="63"/>
      <c r="D296" s="70"/>
    </row>
    <row r="297" spans="1:9">
      <c r="D297" s="10" t="s">
        <v>285</v>
      </c>
      <c r="E297" s="38"/>
      <c r="F297" s="38" t="s">
        <v>1842</v>
      </c>
    </row>
    <row r="298" spans="1:9">
      <c r="D298" s="39">
        <v>2016</v>
      </c>
      <c r="F298" s="41" t="s">
        <v>286</v>
      </c>
    </row>
    <row r="299" spans="1:9">
      <c r="A299" s="63" t="s">
        <v>865</v>
      </c>
      <c r="D299" s="66">
        <f>SUM(D300:D324)</f>
        <v>99599</v>
      </c>
    </row>
    <row r="300" spans="1:9">
      <c r="A300" s="63" t="s">
        <v>812</v>
      </c>
      <c r="B300" s="63" t="s">
        <v>866</v>
      </c>
      <c r="C300" s="1" t="s">
        <v>1781</v>
      </c>
      <c r="D300" s="7">
        <v>4767</v>
      </c>
      <c r="F300" s="63" t="s">
        <v>300</v>
      </c>
      <c r="G300" s="1"/>
      <c r="I300" s="1"/>
    </row>
    <row r="301" spans="1:9">
      <c r="A301" s="63" t="s">
        <v>813</v>
      </c>
      <c r="B301" s="63" t="s">
        <v>867</v>
      </c>
      <c r="C301" s="1" t="s">
        <v>1446</v>
      </c>
      <c r="D301" s="7">
        <v>6060</v>
      </c>
      <c r="F301" s="63" t="s">
        <v>290</v>
      </c>
      <c r="G301" s="1"/>
      <c r="I301" s="1"/>
    </row>
    <row r="302" spans="1:9">
      <c r="A302" s="63" t="s">
        <v>814</v>
      </c>
      <c r="B302" s="63" t="s">
        <v>868</v>
      </c>
      <c r="C302" s="1" t="s">
        <v>1447</v>
      </c>
      <c r="D302" s="7">
        <v>2171</v>
      </c>
      <c r="F302" s="63" t="s">
        <v>96</v>
      </c>
      <c r="G302" s="1"/>
      <c r="I302" s="1"/>
    </row>
    <row r="303" spans="1:9">
      <c r="A303" s="63" t="s">
        <v>815</v>
      </c>
      <c r="B303" s="63" t="s">
        <v>869</v>
      </c>
      <c r="C303" s="1" t="s">
        <v>1448</v>
      </c>
      <c r="D303" s="7">
        <v>6437</v>
      </c>
      <c r="F303" s="63" t="s">
        <v>290</v>
      </c>
      <c r="G303" s="1"/>
      <c r="I303" s="1"/>
    </row>
    <row r="304" spans="1:9">
      <c r="A304" s="63" t="s">
        <v>816</v>
      </c>
      <c r="B304" s="63" t="s">
        <v>870</v>
      </c>
      <c r="C304" s="1" t="s">
        <v>1449</v>
      </c>
      <c r="D304" s="7">
        <v>4421</v>
      </c>
      <c r="F304" s="63" t="s">
        <v>96</v>
      </c>
      <c r="G304" s="1"/>
      <c r="I304" s="1"/>
    </row>
    <row r="305" spans="1:9">
      <c r="A305" s="63" t="s">
        <v>826</v>
      </c>
      <c r="B305" s="63" t="s">
        <v>243</v>
      </c>
      <c r="C305" s="1" t="s">
        <v>1450</v>
      </c>
      <c r="D305" s="7">
        <v>5546</v>
      </c>
      <c r="F305" s="63" t="s">
        <v>96</v>
      </c>
      <c r="G305" s="1"/>
      <c r="I305" s="1"/>
    </row>
    <row r="306" spans="1:9">
      <c r="A306" s="63" t="s">
        <v>827</v>
      </c>
      <c r="B306" s="63" t="s">
        <v>244</v>
      </c>
      <c r="C306" s="1" t="s">
        <v>1451</v>
      </c>
      <c r="D306" s="7">
        <v>4992</v>
      </c>
      <c r="F306" s="63" t="s">
        <v>96</v>
      </c>
      <c r="G306" s="1"/>
      <c r="I306" s="1"/>
    </row>
    <row r="307" spans="1:9">
      <c r="A307" s="63" t="s">
        <v>828</v>
      </c>
      <c r="B307" s="63" t="s">
        <v>245</v>
      </c>
      <c r="C307" s="1" t="s">
        <v>1452</v>
      </c>
      <c r="D307" s="7">
        <v>4959</v>
      </c>
      <c r="F307" s="63" t="s">
        <v>96</v>
      </c>
      <c r="G307" s="1"/>
      <c r="I307" s="1"/>
    </row>
    <row r="308" spans="1:9">
      <c r="A308" s="63" t="s">
        <v>829</v>
      </c>
      <c r="B308" s="63" t="s">
        <v>246</v>
      </c>
      <c r="C308" s="1" t="s">
        <v>1782</v>
      </c>
      <c r="D308" s="7">
        <v>3914</v>
      </c>
      <c r="F308" s="63" t="s">
        <v>96</v>
      </c>
      <c r="G308" s="1"/>
      <c r="I308" s="1"/>
    </row>
    <row r="309" spans="1:9">
      <c r="A309" s="63" t="s">
        <v>830</v>
      </c>
      <c r="B309" s="63" t="s">
        <v>247</v>
      </c>
      <c r="C309" s="1" t="s">
        <v>1453</v>
      </c>
      <c r="D309" s="7">
        <v>7003</v>
      </c>
      <c r="F309" s="63" t="s">
        <v>96</v>
      </c>
      <c r="G309" s="1"/>
      <c r="I309" s="1"/>
    </row>
    <row r="310" spans="1:9">
      <c r="A310" s="63" t="s">
        <v>831</v>
      </c>
      <c r="B310" s="63" t="s">
        <v>248</v>
      </c>
      <c r="C310" s="1" t="s">
        <v>1454</v>
      </c>
      <c r="D310" s="8">
        <v>3909</v>
      </c>
      <c r="F310" s="63" t="s">
        <v>96</v>
      </c>
      <c r="G310" s="1"/>
      <c r="I310" s="1"/>
    </row>
    <row r="311" spans="1:9">
      <c r="A311" s="63" t="s">
        <v>832</v>
      </c>
      <c r="B311" s="63" t="s">
        <v>249</v>
      </c>
      <c r="C311" s="1" t="s">
        <v>1455</v>
      </c>
      <c r="D311" s="7">
        <v>2287</v>
      </c>
      <c r="F311" s="63" t="s">
        <v>290</v>
      </c>
      <c r="G311" s="1"/>
      <c r="I311" s="1"/>
    </row>
    <row r="312" spans="1:9">
      <c r="A312" s="63" t="s">
        <v>833</v>
      </c>
      <c r="B312" s="63" t="s">
        <v>250</v>
      </c>
      <c r="C312" s="1" t="s">
        <v>1456</v>
      </c>
      <c r="D312" s="8">
        <v>2056</v>
      </c>
      <c r="F312" s="63" t="s">
        <v>300</v>
      </c>
      <c r="G312" s="1"/>
      <c r="I312" s="1"/>
    </row>
    <row r="313" spans="1:9">
      <c r="A313" s="63" t="s">
        <v>834</v>
      </c>
      <c r="B313" s="63" t="s">
        <v>251</v>
      </c>
      <c r="C313" s="1" t="s">
        <v>1457</v>
      </c>
      <c r="D313" s="7">
        <v>5067</v>
      </c>
      <c r="F313" s="63" t="s">
        <v>96</v>
      </c>
      <c r="G313" s="1"/>
      <c r="I313" s="1"/>
    </row>
    <row r="314" spans="1:9">
      <c r="A314" s="63" t="s">
        <v>835</v>
      </c>
      <c r="B314" s="63" t="s">
        <v>252</v>
      </c>
      <c r="C314" s="1" t="s">
        <v>1458</v>
      </c>
      <c r="D314" s="8">
        <v>2356</v>
      </c>
      <c r="F314" s="63" t="s">
        <v>96</v>
      </c>
      <c r="G314" s="1"/>
      <c r="I314" s="1"/>
    </row>
    <row r="315" spans="1:9">
      <c r="A315" s="63" t="s">
        <v>836</v>
      </c>
      <c r="B315" s="63" t="s">
        <v>472</v>
      </c>
      <c r="C315" s="1" t="s">
        <v>1459</v>
      </c>
      <c r="D315" s="8">
        <v>4634</v>
      </c>
      <c r="F315" s="63" t="s">
        <v>96</v>
      </c>
      <c r="G315" s="1"/>
      <c r="I315" s="1"/>
    </row>
    <row r="316" spans="1:9">
      <c r="A316" s="63" t="s">
        <v>837</v>
      </c>
      <c r="B316" s="63" t="s">
        <v>1839</v>
      </c>
      <c r="C316" s="1" t="s">
        <v>1460</v>
      </c>
      <c r="D316" s="8">
        <v>4568</v>
      </c>
      <c r="F316" s="63" t="s">
        <v>96</v>
      </c>
      <c r="G316" s="1"/>
      <c r="I316" s="1"/>
    </row>
    <row r="317" spans="1:9">
      <c r="A317" s="63" t="s">
        <v>838</v>
      </c>
      <c r="B317" s="63" t="s">
        <v>1840</v>
      </c>
      <c r="C317" s="1" t="s">
        <v>1461</v>
      </c>
      <c r="D317" s="8">
        <v>4134</v>
      </c>
      <c r="F317" s="63" t="s">
        <v>96</v>
      </c>
      <c r="G317" s="1"/>
      <c r="I317" s="1"/>
    </row>
    <row r="318" spans="1:9">
      <c r="A318" s="63" t="s">
        <v>840</v>
      </c>
      <c r="B318" s="63" t="s">
        <v>695</v>
      </c>
      <c r="C318" s="1" t="s">
        <v>1462</v>
      </c>
      <c r="D318" s="7">
        <v>2264</v>
      </c>
      <c r="F318" s="63" t="s">
        <v>290</v>
      </c>
      <c r="G318" s="1"/>
      <c r="I318" s="1"/>
    </row>
    <row r="319" spans="1:9">
      <c r="A319" s="63" t="s">
        <v>841</v>
      </c>
      <c r="B319" s="63" t="s">
        <v>696</v>
      </c>
      <c r="C319" s="1" t="s">
        <v>1463</v>
      </c>
      <c r="D319" s="8">
        <v>1986</v>
      </c>
      <c r="F319" s="63" t="s">
        <v>96</v>
      </c>
      <c r="G319" s="1"/>
      <c r="I319" s="1"/>
    </row>
    <row r="320" spans="1:9">
      <c r="A320" s="63" t="s">
        <v>878</v>
      </c>
      <c r="B320" s="63" t="s">
        <v>697</v>
      </c>
      <c r="C320" s="1" t="s">
        <v>1464</v>
      </c>
      <c r="D320" s="7">
        <v>2423</v>
      </c>
      <c r="F320" s="63" t="s">
        <v>290</v>
      </c>
      <c r="G320" s="1"/>
      <c r="I320" s="1"/>
    </row>
    <row r="321" spans="1:9">
      <c r="A321" s="63" t="s">
        <v>879</v>
      </c>
      <c r="B321" s="63" t="s">
        <v>698</v>
      </c>
      <c r="C321" s="1" t="s">
        <v>1465</v>
      </c>
      <c r="D321" s="8">
        <v>3732</v>
      </c>
      <c r="F321" s="63" t="s">
        <v>96</v>
      </c>
      <c r="G321" s="1"/>
      <c r="I321" s="1"/>
    </row>
    <row r="322" spans="1:9">
      <c r="A322" s="63" t="s">
        <v>880</v>
      </c>
      <c r="B322" s="63" t="s">
        <v>699</v>
      </c>
      <c r="C322" s="1" t="s">
        <v>1466</v>
      </c>
      <c r="D322" s="8">
        <v>3959</v>
      </c>
      <c r="F322" s="63" t="s">
        <v>96</v>
      </c>
      <c r="G322" s="1"/>
      <c r="I322" s="1"/>
    </row>
    <row r="323" spans="1:9">
      <c r="A323" s="63" t="s">
        <v>721</v>
      </c>
      <c r="B323" s="63" t="s">
        <v>700</v>
      </c>
      <c r="C323" s="1" t="s">
        <v>1467</v>
      </c>
      <c r="D323" s="8">
        <v>3748</v>
      </c>
      <c r="F323" s="63" t="s">
        <v>96</v>
      </c>
      <c r="G323" s="1"/>
      <c r="I323" s="1"/>
    </row>
    <row r="324" spans="1:9">
      <c r="A324" s="63" t="s">
        <v>722</v>
      </c>
      <c r="B324" s="63" t="s">
        <v>270</v>
      </c>
      <c r="C324" s="1" t="s">
        <v>1468</v>
      </c>
      <c r="D324" s="7">
        <v>2206</v>
      </c>
      <c r="F324" s="63" t="s">
        <v>290</v>
      </c>
      <c r="G324" s="1"/>
      <c r="I324" s="1"/>
    </row>
    <row r="325" spans="1:9">
      <c r="D325" s="72"/>
    </row>
    <row r="326" spans="1:9">
      <c r="A326" s="63" t="s">
        <v>683</v>
      </c>
      <c r="D326" s="66">
        <f>D301+D303+D311+D318+D320+D324</f>
        <v>21677</v>
      </c>
    </row>
    <row r="327" spans="1:9">
      <c r="A327" s="63" t="s">
        <v>96</v>
      </c>
      <c r="D327" s="66">
        <f>D302+SUM(D304:D310)+SUM(D313:D317)+D319+SUM(D321:D323)</f>
        <v>71099</v>
      </c>
    </row>
    <row r="328" spans="1:9">
      <c r="A328" s="63" t="s">
        <v>215</v>
      </c>
      <c r="D328" s="66">
        <f>D300+D312</f>
        <v>6823</v>
      </c>
    </row>
    <row r="329" spans="1:9">
      <c r="A329" s="63"/>
      <c r="D329" s="66"/>
    </row>
    <row r="330" spans="1:9">
      <c r="A330" s="63" t="s">
        <v>1788</v>
      </c>
      <c r="D330" s="66"/>
    </row>
    <row r="331" spans="1:9">
      <c r="A331" s="63" t="s">
        <v>1789</v>
      </c>
      <c r="B331" s="63"/>
      <c r="D331" s="70"/>
    </row>
    <row r="332" spans="1:9">
      <c r="A332" s="63"/>
      <c r="B332" s="63"/>
      <c r="D332" s="70"/>
    </row>
    <row r="333" spans="1:9">
      <c r="A333" s="63"/>
      <c r="B333" s="63"/>
      <c r="D333" s="70"/>
    </row>
    <row r="334" spans="1:9">
      <c r="D334" s="10" t="s">
        <v>285</v>
      </c>
      <c r="E334" s="38"/>
      <c r="F334" s="38" t="s">
        <v>1842</v>
      </c>
    </row>
    <row r="335" spans="1:9">
      <c r="D335" s="39">
        <v>2016</v>
      </c>
      <c r="F335" s="41" t="s">
        <v>286</v>
      </c>
    </row>
    <row r="336" spans="1:9">
      <c r="A336" s="63" t="s">
        <v>277</v>
      </c>
      <c r="D336" s="66">
        <f>SUM(D337:D359)</f>
        <v>51061</v>
      </c>
    </row>
    <row r="337" spans="1:9">
      <c r="A337" s="63" t="s">
        <v>812</v>
      </c>
      <c r="B337" s="63" t="s">
        <v>278</v>
      </c>
      <c r="C337" s="1" t="s">
        <v>1469</v>
      </c>
      <c r="D337" s="7">
        <v>2216</v>
      </c>
      <c r="F337" s="63" t="s">
        <v>2347</v>
      </c>
      <c r="G337" s="19"/>
      <c r="I337" s="1"/>
    </row>
    <row r="338" spans="1:9">
      <c r="A338" s="63" t="s">
        <v>813</v>
      </c>
      <c r="B338" s="63" t="s">
        <v>279</v>
      </c>
      <c r="C338" s="1" t="s">
        <v>1470</v>
      </c>
      <c r="D338" s="7">
        <v>4785</v>
      </c>
      <c r="F338" s="63" t="s">
        <v>2347</v>
      </c>
      <c r="G338" s="19"/>
      <c r="I338" s="1"/>
    </row>
    <row r="339" spans="1:9">
      <c r="A339" s="63" t="s">
        <v>814</v>
      </c>
      <c r="B339" s="63" t="s">
        <v>280</v>
      </c>
      <c r="C339" s="1" t="s">
        <v>1471</v>
      </c>
      <c r="D339" s="7">
        <v>4277</v>
      </c>
      <c r="F339" s="63" t="s">
        <v>2347</v>
      </c>
      <c r="G339" s="19"/>
      <c r="I339" s="1"/>
    </row>
    <row r="340" spans="1:9">
      <c r="A340" s="63" t="s">
        <v>815</v>
      </c>
      <c r="B340" s="63" t="s">
        <v>281</v>
      </c>
      <c r="C340" s="1" t="s">
        <v>1472</v>
      </c>
      <c r="D340" s="7">
        <v>4220</v>
      </c>
      <c r="F340" s="63" t="s">
        <v>2347</v>
      </c>
      <c r="G340" s="19"/>
      <c r="I340" s="1"/>
    </row>
    <row r="341" spans="1:9">
      <c r="A341" s="63" t="s">
        <v>816</v>
      </c>
      <c r="B341" s="63" t="s">
        <v>1008</v>
      </c>
      <c r="C341" s="1" t="s">
        <v>1473</v>
      </c>
      <c r="D341" s="7">
        <v>1371</v>
      </c>
      <c r="F341" s="63" t="s">
        <v>2347</v>
      </c>
      <c r="G341" s="19"/>
      <c r="I341" s="1"/>
    </row>
    <row r="342" spans="1:9">
      <c r="A342" s="63" t="s">
        <v>826</v>
      </c>
      <c r="B342" s="63" t="s">
        <v>282</v>
      </c>
      <c r="C342" s="1" t="s">
        <v>1474</v>
      </c>
      <c r="D342" s="7">
        <v>1251</v>
      </c>
      <c r="F342" s="63" t="s">
        <v>290</v>
      </c>
      <c r="G342" s="19"/>
      <c r="I342" s="1"/>
    </row>
    <row r="343" spans="1:9">
      <c r="A343" s="63" t="s">
        <v>827</v>
      </c>
      <c r="B343" s="63" t="s">
        <v>283</v>
      </c>
      <c r="C343" s="1" t="s">
        <v>1475</v>
      </c>
      <c r="D343" s="7">
        <v>1224</v>
      </c>
      <c r="F343" s="63" t="s">
        <v>2347</v>
      </c>
      <c r="G343" s="19"/>
      <c r="I343" s="1"/>
    </row>
    <row r="344" spans="1:9">
      <c r="A344" s="63" t="s">
        <v>828</v>
      </c>
      <c r="B344" s="63" t="s">
        <v>284</v>
      </c>
      <c r="C344" s="1" t="s">
        <v>1476</v>
      </c>
      <c r="D344" s="7">
        <v>1310</v>
      </c>
      <c r="F344" s="63" t="s">
        <v>2347</v>
      </c>
      <c r="G344" s="19"/>
      <c r="I344" s="1"/>
    </row>
    <row r="345" spans="1:9">
      <c r="A345" s="63" t="s">
        <v>829</v>
      </c>
      <c r="B345" s="63" t="s">
        <v>496</v>
      </c>
      <c r="C345" s="1" t="s">
        <v>1477</v>
      </c>
      <c r="D345" s="7">
        <v>1420</v>
      </c>
      <c r="F345" s="63" t="s">
        <v>2347</v>
      </c>
      <c r="G345" s="19"/>
      <c r="I345" s="1"/>
    </row>
    <row r="346" spans="1:9">
      <c r="A346" s="63" t="s">
        <v>830</v>
      </c>
      <c r="B346" s="63" t="s">
        <v>497</v>
      </c>
      <c r="C346" s="1" t="s">
        <v>1478</v>
      </c>
      <c r="D346" s="7">
        <v>2438</v>
      </c>
      <c r="F346" s="63" t="s">
        <v>2347</v>
      </c>
      <c r="G346" s="19"/>
      <c r="I346" s="1"/>
    </row>
    <row r="347" spans="1:9">
      <c r="A347" s="63" t="s">
        <v>831</v>
      </c>
      <c r="B347" s="63" t="s">
        <v>703</v>
      </c>
      <c r="C347" s="1" t="s">
        <v>1479</v>
      </c>
      <c r="D347" s="7">
        <v>3269</v>
      </c>
      <c r="F347" s="63" t="s">
        <v>2347</v>
      </c>
      <c r="G347" s="19"/>
      <c r="I347" s="1"/>
    </row>
    <row r="348" spans="1:9">
      <c r="A348" s="63" t="s">
        <v>832</v>
      </c>
      <c r="B348" s="63" t="s">
        <v>704</v>
      </c>
      <c r="C348" s="1" t="s">
        <v>1480</v>
      </c>
      <c r="D348" s="7">
        <v>1346</v>
      </c>
      <c r="F348" s="63" t="s">
        <v>2347</v>
      </c>
      <c r="G348" s="19"/>
      <c r="I348" s="1"/>
    </row>
    <row r="349" spans="1:9">
      <c r="A349" s="63" t="s">
        <v>833</v>
      </c>
      <c r="B349" s="63" t="s">
        <v>705</v>
      </c>
      <c r="C349" s="1" t="s">
        <v>1481</v>
      </c>
      <c r="D349" s="7">
        <v>1232</v>
      </c>
      <c r="F349" s="63" t="s">
        <v>2347</v>
      </c>
      <c r="G349" s="19"/>
      <c r="I349" s="1"/>
    </row>
    <row r="350" spans="1:9">
      <c r="A350" s="63" t="s">
        <v>834</v>
      </c>
      <c r="B350" s="63" t="s">
        <v>494</v>
      </c>
      <c r="C350" s="1" t="s">
        <v>1482</v>
      </c>
      <c r="D350" s="7">
        <v>4361</v>
      </c>
      <c r="F350" s="63" t="s">
        <v>2347</v>
      </c>
      <c r="G350" s="19"/>
      <c r="I350" s="1"/>
    </row>
    <row r="351" spans="1:9">
      <c r="A351" s="63" t="s">
        <v>835</v>
      </c>
      <c r="B351" s="63" t="s">
        <v>495</v>
      </c>
      <c r="C351" s="1" t="s">
        <v>1483</v>
      </c>
      <c r="D351" s="7">
        <v>1453</v>
      </c>
      <c r="F351" s="63" t="s">
        <v>2347</v>
      </c>
      <c r="G351" s="19"/>
      <c r="I351" s="1"/>
    </row>
    <row r="352" spans="1:9">
      <c r="A352" s="63" t="s">
        <v>836</v>
      </c>
      <c r="B352" s="63" t="s">
        <v>701</v>
      </c>
      <c r="C352" s="1" t="s">
        <v>1484</v>
      </c>
      <c r="D352" s="8">
        <v>1538</v>
      </c>
      <c r="F352" s="63" t="s">
        <v>2347</v>
      </c>
      <c r="G352" s="20"/>
      <c r="I352" s="1"/>
    </row>
    <row r="353" spans="1:9">
      <c r="A353" s="63" t="s">
        <v>837</v>
      </c>
      <c r="B353" s="63" t="s">
        <v>702</v>
      </c>
      <c r="C353" s="1" t="s">
        <v>1485</v>
      </c>
      <c r="D353" s="8">
        <v>1383</v>
      </c>
      <c r="F353" s="63" t="s">
        <v>2347</v>
      </c>
      <c r="G353" s="20"/>
      <c r="I353" s="1"/>
    </row>
    <row r="354" spans="1:9">
      <c r="A354" s="63" t="s">
        <v>838</v>
      </c>
      <c r="B354" s="63" t="s">
        <v>871</v>
      </c>
      <c r="C354" s="1" t="s">
        <v>1486</v>
      </c>
      <c r="D354" s="8">
        <v>1339</v>
      </c>
      <c r="F354" s="63" t="s">
        <v>290</v>
      </c>
      <c r="G354" s="20"/>
      <c r="I354" s="1"/>
    </row>
    <row r="355" spans="1:9">
      <c r="A355" s="63" t="s">
        <v>840</v>
      </c>
      <c r="B355" s="63" t="s">
        <v>872</v>
      </c>
      <c r="C355" s="1" t="s">
        <v>1487</v>
      </c>
      <c r="D355" s="8">
        <v>4240</v>
      </c>
      <c r="F355" s="63" t="s">
        <v>290</v>
      </c>
      <c r="G355" s="20"/>
      <c r="I355" s="1"/>
    </row>
    <row r="356" spans="1:9">
      <c r="A356" s="63" t="s">
        <v>841</v>
      </c>
      <c r="B356" s="63" t="s">
        <v>482</v>
      </c>
      <c r="C356" s="1" t="s">
        <v>1488</v>
      </c>
      <c r="D356" s="8">
        <v>1498</v>
      </c>
      <c r="F356" s="63" t="s">
        <v>290</v>
      </c>
      <c r="G356" s="20"/>
      <c r="I356" s="1"/>
    </row>
    <row r="357" spans="1:9">
      <c r="A357" s="63" t="s">
        <v>878</v>
      </c>
      <c r="B357" s="63" t="s">
        <v>483</v>
      </c>
      <c r="C357" s="1" t="s">
        <v>1489</v>
      </c>
      <c r="D357" s="8">
        <v>1378</v>
      </c>
      <c r="F357" s="63" t="s">
        <v>2347</v>
      </c>
      <c r="G357" s="20"/>
      <c r="I357" s="1"/>
    </row>
    <row r="358" spans="1:9">
      <c r="A358" s="63" t="s">
        <v>879</v>
      </c>
      <c r="B358" s="63" t="s">
        <v>484</v>
      </c>
      <c r="C358" s="1" t="s">
        <v>1490</v>
      </c>
      <c r="D358" s="8">
        <v>1813</v>
      </c>
      <c r="F358" s="63" t="s">
        <v>2347</v>
      </c>
      <c r="G358" s="20"/>
      <c r="I358" s="1"/>
    </row>
    <row r="359" spans="1:9">
      <c r="A359" s="63" t="s">
        <v>880</v>
      </c>
      <c r="B359" s="63" t="s">
        <v>485</v>
      </c>
      <c r="C359" s="1" t="s">
        <v>1491</v>
      </c>
      <c r="D359" s="8">
        <v>1699</v>
      </c>
      <c r="F359" s="63" t="s">
        <v>290</v>
      </c>
      <c r="G359" s="20"/>
      <c r="I359" s="1"/>
    </row>
    <row r="360" spans="1:9">
      <c r="D360" s="72"/>
    </row>
    <row r="361" spans="1:9">
      <c r="A361" s="63" t="s">
        <v>2349</v>
      </c>
      <c r="D361" s="66">
        <f>SUM(D337:D341)+SUM(D343:D353)+D357+D358</f>
        <v>41034</v>
      </c>
    </row>
    <row r="362" spans="1:9">
      <c r="A362" s="63" t="s">
        <v>683</v>
      </c>
      <c r="D362" s="66">
        <f>D342+SUM(D354:D356)+D359</f>
        <v>10027</v>
      </c>
    </row>
    <row r="363" spans="1:9">
      <c r="A363" s="63"/>
      <c r="D363" s="66"/>
    </row>
    <row r="364" spans="1:9">
      <c r="A364" s="63" t="s">
        <v>486</v>
      </c>
      <c r="D364" s="66"/>
    </row>
    <row r="365" spans="1:9">
      <c r="A365" s="63"/>
      <c r="B365" s="63"/>
      <c r="D365" s="70"/>
    </row>
    <row r="366" spans="1:9">
      <c r="A366" s="63"/>
      <c r="B366" s="63"/>
      <c r="D366" s="70"/>
    </row>
    <row r="367" spans="1:9">
      <c r="D367" s="10" t="s">
        <v>285</v>
      </c>
      <c r="E367" s="38"/>
      <c r="F367" s="38" t="s">
        <v>1842</v>
      </c>
    </row>
    <row r="368" spans="1:9">
      <c r="D368" s="39">
        <v>2016</v>
      </c>
      <c r="F368" s="41" t="s">
        <v>286</v>
      </c>
    </row>
    <row r="369" spans="1:9">
      <c r="A369" s="63" t="s">
        <v>487</v>
      </c>
      <c r="D369" s="66">
        <f>SUM(D370:D387)</f>
        <v>41773</v>
      </c>
    </row>
    <row r="370" spans="1:9">
      <c r="A370" s="63" t="s">
        <v>812</v>
      </c>
      <c r="B370" s="63" t="s">
        <v>488</v>
      </c>
      <c r="C370" s="1" t="s">
        <v>2062</v>
      </c>
      <c r="D370" s="7">
        <v>2847</v>
      </c>
      <c r="F370" s="63" t="s">
        <v>2345</v>
      </c>
      <c r="G370" s="19"/>
      <c r="I370" s="1"/>
    </row>
    <row r="371" spans="1:9">
      <c r="A371" s="63" t="s">
        <v>813</v>
      </c>
      <c r="B371" s="63" t="s">
        <v>489</v>
      </c>
      <c r="C371" s="1" t="s">
        <v>2063</v>
      </c>
      <c r="D371" s="7">
        <v>2465</v>
      </c>
      <c r="F371" s="63" t="s">
        <v>290</v>
      </c>
      <c r="G371" s="19"/>
      <c r="I371" s="1"/>
    </row>
    <row r="372" spans="1:9">
      <c r="A372" s="63" t="s">
        <v>814</v>
      </c>
      <c r="B372" s="63" t="s">
        <v>490</v>
      </c>
      <c r="C372" s="1" t="s">
        <v>2068</v>
      </c>
      <c r="D372" s="7">
        <v>2969</v>
      </c>
      <c r="F372" s="63" t="s">
        <v>2345</v>
      </c>
      <c r="G372" s="19"/>
      <c r="I372" s="1"/>
    </row>
    <row r="373" spans="1:9">
      <c r="A373" s="63" t="s">
        <v>815</v>
      </c>
      <c r="B373" s="63" t="s">
        <v>491</v>
      </c>
      <c r="C373" s="1" t="s">
        <v>2069</v>
      </c>
      <c r="D373" s="7">
        <v>2866</v>
      </c>
      <c r="F373" s="63" t="s">
        <v>2345</v>
      </c>
      <c r="G373" s="19"/>
      <c r="I373" s="1"/>
    </row>
    <row r="374" spans="1:9">
      <c r="A374" s="63" t="s">
        <v>816</v>
      </c>
      <c r="B374" s="63" t="s">
        <v>492</v>
      </c>
      <c r="C374" s="1" t="s">
        <v>2070</v>
      </c>
      <c r="D374" s="7">
        <v>1152</v>
      </c>
      <c r="F374" s="63" t="s">
        <v>290</v>
      </c>
      <c r="G374" s="19"/>
      <c r="I374" s="1"/>
    </row>
    <row r="375" spans="1:9">
      <c r="A375" s="63" t="s">
        <v>826</v>
      </c>
      <c r="B375" s="63" t="s">
        <v>2064</v>
      </c>
      <c r="C375" s="1" t="s">
        <v>2071</v>
      </c>
      <c r="D375" s="7">
        <v>1363</v>
      </c>
      <c r="F375" s="63" t="s">
        <v>2345</v>
      </c>
      <c r="G375" s="19"/>
      <c r="I375" s="1"/>
    </row>
    <row r="376" spans="1:9">
      <c r="A376" s="63" t="s">
        <v>827</v>
      </c>
      <c r="B376" s="63" t="s">
        <v>493</v>
      </c>
      <c r="C376" s="1" t="s">
        <v>2072</v>
      </c>
      <c r="D376" s="7">
        <v>1325</v>
      </c>
      <c r="F376" s="63" t="s">
        <v>290</v>
      </c>
      <c r="G376" s="19"/>
      <c r="I376" s="1"/>
    </row>
    <row r="377" spans="1:9">
      <c r="A377" s="63" t="s">
        <v>828</v>
      </c>
      <c r="B377" s="63" t="s">
        <v>1000</v>
      </c>
      <c r="C377" s="1" t="s">
        <v>2073</v>
      </c>
      <c r="D377" s="7">
        <v>2968</v>
      </c>
      <c r="F377" s="63" t="s">
        <v>290</v>
      </c>
      <c r="G377" s="19"/>
      <c r="I377" s="1"/>
    </row>
    <row r="378" spans="1:9">
      <c r="A378" s="63" t="s">
        <v>829</v>
      </c>
      <c r="B378" s="63" t="s">
        <v>1001</v>
      </c>
      <c r="C378" s="1" t="s">
        <v>2074</v>
      </c>
      <c r="D378" s="7">
        <v>2341</v>
      </c>
      <c r="F378" s="63" t="s">
        <v>290</v>
      </c>
      <c r="G378" s="19"/>
      <c r="I378" s="1"/>
    </row>
    <row r="379" spans="1:9">
      <c r="A379" s="63" t="s">
        <v>830</v>
      </c>
      <c r="B379" s="63" t="s">
        <v>1002</v>
      </c>
      <c r="C379" s="1" t="s">
        <v>2075</v>
      </c>
      <c r="D379" s="7">
        <v>1305</v>
      </c>
      <c r="F379" s="63" t="s">
        <v>2345</v>
      </c>
      <c r="G379" s="19"/>
      <c r="I379" s="1"/>
    </row>
    <row r="380" spans="1:9">
      <c r="A380" s="63" t="s">
        <v>831</v>
      </c>
      <c r="B380" s="63" t="s">
        <v>1003</v>
      </c>
      <c r="C380" s="1" t="s">
        <v>2076</v>
      </c>
      <c r="D380" s="7">
        <v>1454</v>
      </c>
      <c r="F380" s="63" t="s">
        <v>2345</v>
      </c>
      <c r="G380" s="19"/>
      <c r="I380" s="1"/>
    </row>
    <row r="381" spans="1:9">
      <c r="A381" s="63" t="s">
        <v>832</v>
      </c>
      <c r="B381" s="63" t="s">
        <v>2065</v>
      </c>
      <c r="C381" s="1" t="s">
        <v>2077</v>
      </c>
      <c r="D381" s="7">
        <v>3642</v>
      </c>
      <c r="F381" s="63" t="s">
        <v>290</v>
      </c>
      <c r="G381" s="20"/>
      <c r="I381" s="1"/>
    </row>
    <row r="382" spans="1:9">
      <c r="A382" s="63" t="s">
        <v>833</v>
      </c>
      <c r="B382" s="63" t="s">
        <v>2066</v>
      </c>
      <c r="C382" s="1" t="s">
        <v>2078</v>
      </c>
      <c r="D382" s="7">
        <v>2696</v>
      </c>
      <c r="F382" s="63" t="s">
        <v>290</v>
      </c>
      <c r="G382" s="19"/>
      <c r="I382" s="1"/>
    </row>
    <row r="383" spans="1:9">
      <c r="A383" s="63" t="s">
        <v>834</v>
      </c>
      <c r="B383" s="63" t="s">
        <v>873</v>
      </c>
      <c r="C383" s="1" t="s">
        <v>2079</v>
      </c>
      <c r="D383" s="7">
        <v>1515</v>
      </c>
      <c r="F383" s="63" t="s">
        <v>290</v>
      </c>
      <c r="G383" s="19"/>
      <c r="I383" s="1"/>
    </row>
    <row r="384" spans="1:9">
      <c r="A384" s="63" t="s">
        <v>835</v>
      </c>
      <c r="B384" s="63" t="s">
        <v>702</v>
      </c>
      <c r="C384" s="1" t="s">
        <v>2080</v>
      </c>
      <c r="D384" s="8">
        <v>1400</v>
      </c>
      <c r="F384" s="63" t="s">
        <v>2345</v>
      </c>
      <c r="G384" s="19"/>
      <c r="I384" s="1"/>
    </row>
    <row r="385" spans="1:9">
      <c r="A385" s="63" t="s">
        <v>836</v>
      </c>
      <c r="B385" s="63" t="s">
        <v>874</v>
      </c>
      <c r="C385" s="1" t="s">
        <v>2081</v>
      </c>
      <c r="D385" s="8">
        <v>3696</v>
      </c>
      <c r="F385" s="63" t="s">
        <v>2345</v>
      </c>
      <c r="G385" s="19"/>
      <c r="I385" s="1"/>
    </row>
    <row r="386" spans="1:9">
      <c r="A386" s="63" t="s">
        <v>837</v>
      </c>
      <c r="B386" s="63" t="s">
        <v>2067</v>
      </c>
      <c r="C386" s="1" t="s">
        <v>2082</v>
      </c>
      <c r="D386" s="8">
        <v>2946</v>
      </c>
      <c r="F386" s="63" t="s">
        <v>2345</v>
      </c>
      <c r="G386" s="20"/>
      <c r="I386" s="1"/>
    </row>
    <row r="387" spans="1:9">
      <c r="A387" s="63" t="s">
        <v>838</v>
      </c>
      <c r="B387" s="63" t="s">
        <v>875</v>
      </c>
      <c r="C387" s="1" t="s">
        <v>2083</v>
      </c>
      <c r="D387" s="8">
        <v>2823</v>
      </c>
      <c r="F387" s="63" t="s">
        <v>2345</v>
      </c>
      <c r="G387" s="20"/>
      <c r="I387" s="1"/>
    </row>
    <row r="388" spans="1:9">
      <c r="D388" s="72"/>
    </row>
    <row r="389" spans="1:9">
      <c r="A389" s="63" t="s">
        <v>683</v>
      </c>
      <c r="D389" s="66">
        <f>D371+D374+SUM(D376:D378)+SUM(D381:D383)</f>
        <v>18104</v>
      </c>
      <c r="E389" s="66"/>
    </row>
    <row r="390" spans="1:9">
      <c r="A390" s="63" t="s">
        <v>2348</v>
      </c>
      <c r="D390" s="66">
        <f>D370+D372+D373+D375+D379+D380+SUM(D384:D387)</f>
        <v>23669</v>
      </c>
      <c r="E390" s="66"/>
    </row>
    <row r="392" spans="1:9">
      <c r="A392" s="64" t="s">
        <v>2084</v>
      </c>
    </row>
  </sheetData>
  <phoneticPr fontId="5" type="noConversion"/>
  <printOptions gridLinesSet="0"/>
  <pageMargins left="0.78740157480314965" right="0" top="0.51181102362204722" bottom="0.51181102362204722" header="0.51181102362204722" footer="0.51181102362204722"/>
  <pageSetup paperSize="9" scale="67" orientation="portrait" horizontalDpi="300" verticalDpi="300" r:id="rId1"/>
  <headerFooter alignWithMargins="0">
    <oddFooter>&amp;C&amp;"Times New Roman,Regular"&amp;8&amp;P of &amp;N</oddFooter>
  </headerFooter>
  <ignoredErrors>
    <ignoredError sqref="D68 D299 D167 D260 D231 D99 D195 D336 D187:D188 D116:D117 D221:D222 D90:D91 D124 D158:D159 D3:D17 D21:D22 D53:D57 D326:D328 D361:D362 D18:D19 D24:D43 D45:D52 D291:D292 D269 D369 D44 D58 D389:D390 D60 D59 D61" unlockedFormula="1"/>
    <ignoredError sqref="D92" formulaRange="1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62"/>
  <sheetViews>
    <sheetView showGridLines="0" zoomScaleNormal="100" workbookViewId="0"/>
  </sheetViews>
  <sheetFormatPr defaultColWidth="12.59765625" defaultRowHeight="14.5"/>
  <cols>
    <col min="1" max="1" width="4.8984375" style="38" customWidth="1"/>
    <col min="2" max="2" width="40.69921875" style="38" customWidth="1"/>
    <col min="3" max="3" width="11.59765625" style="38" customWidth="1"/>
    <col min="4" max="4" width="10" style="38" customWidth="1"/>
    <col min="5" max="5" width="2.296875" style="38" customWidth="1"/>
    <col min="6" max="6" width="39.296875" style="38" customWidth="1"/>
    <col min="7" max="16384" width="12.59765625" style="38"/>
  </cols>
  <sheetData>
    <row r="1" spans="1:6">
      <c r="A1" s="41" t="s">
        <v>1075</v>
      </c>
      <c r="D1" s="39">
        <v>2016</v>
      </c>
    </row>
    <row r="3" spans="1:6">
      <c r="A3" s="41" t="s">
        <v>790</v>
      </c>
      <c r="C3" s="41"/>
      <c r="D3" s="78">
        <f>SUM(D8:D13)</f>
        <v>317022</v>
      </c>
    </row>
    <row r="4" spans="1:6">
      <c r="A4" s="41" t="s">
        <v>791</v>
      </c>
      <c r="C4" s="41"/>
      <c r="D4" s="78">
        <f>D55</f>
        <v>130405</v>
      </c>
    </row>
    <row r="5" spans="1:6" ht="15" thickBot="1">
      <c r="A5" s="41" t="s">
        <v>792</v>
      </c>
      <c r="C5" s="41"/>
      <c r="D5" s="79">
        <f>D84</f>
        <v>108333</v>
      </c>
    </row>
    <row r="6" spans="1:6" ht="15" thickBot="1">
      <c r="D6" s="79">
        <f>SUM(D3:D5)</f>
        <v>555760</v>
      </c>
    </row>
    <row r="7" spans="1:6">
      <c r="D7" s="80"/>
    </row>
    <row r="8" spans="1:6">
      <c r="A8" s="41" t="s">
        <v>793</v>
      </c>
      <c r="C8" s="41"/>
      <c r="D8" s="78">
        <f>D110</f>
        <v>37903</v>
      </c>
      <c r="F8" s="81"/>
    </row>
    <row r="9" spans="1:6">
      <c r="A9" s="41" t="s">
        <v>794</v>
      </c>
      <c r="C9" s="41"/>
      <c r="D9" s="78">
        <f>D130</f>
        <v>69860</v>
      </c>
      <c r="F9" s="81"/>
    </row>
    <row r="10" spans="1:6">
      <c r="A10" s="41" t="s">
        <v>795</v>
      </c>
      <c r="C10" s="41"/>
      <c r="D10" s="78">
        <f>D156</f>
        <v>49331</v>
      </c>
      <c r="F10" s="81"/>
    </row>
    <row r="11" spans="1:6">
      <c r="A11" s="41" t="s">
        <v>796</v>
      </c>
      <c r="C11" s="41"/>
      <c r="D11" s="78">
        <f>D185</f>
        <v>34691</v>
      </c>
      <c r="F11" s="81"/>
    </row>
    <row r="12" spans="1:6">
      <c r="A12" s="41" t="s">
        <v>797</v>
      </c>
      <c r="C12" s="41"/>
      <c r="D12" s="78">
        <f>D209</f>
        <v>77712</v>
      </c>
      <c r="F12" s="81"/>
    </row>
    <row r="13" spans="1:6">
      <c r="A13" s="41" t="s">
        <v>798</v>
      </c>
      <c r="C13" s="41"/>
      <c r="D13" s="78">
        <f>D243</f>
        <v>47525</v>
      </c>
      <c r="F13" s="81"/>
    </row>
    <row r="15" spans="1:6">
      <c r="A15" s="41" t="s">
        <v>2337</v>
      </c>
      <c r="D15" s="78">
        <f>D75</f>
        <v>35986</v>
      </c>
      <c r="F15" s="41" t="s">
        <v>389</v>
      </c>
    </row>
    <row r="16" spans="1:6" ht="15" thickBot="1">
      <c r="A16" s="41"/>
      <c r="D16" s="79">
        <f>D123</f>
        <v>37903</v>
      </c>
      <c r="F16" s="41" t="s">
        <v>806</v>
      </c>
    </row>
    <row r="17" spans="1:6" ht="15" thickBot="1">
      <c r="A17" s="41"/>
      <c r="D17" s="79">
        <f>D15+D16</f>
        <v>73889</v>
      </c>
      <c r="F17" s="41"/>
    </row>
    <row r="18" spans="1:6">
      <c r="A18" s="41"/>
      <c r="D18" s="141"/>
      <c r="F18" s="41"/>
    </row>
    <row r="19" spans="1:6">
      <c r="A19" s="41" t="s">
        <v>2336</v>
      </c>
      <c r="D19" s="78">
        <f>D76</f>
        <v>71427</v>
      </c>
      <c r="F19" s="41" t="s">
        <v>389</v>
      </c>
    </row>
    <row r="20" spans="1:6">
      <c r="D20" s="80"/>
    </row>
    <row r="21" spans="1:6">
      <c r="A21" s="38" t="s">
        <v>2341</v>
      </c>
      <c r="D21" s="80">
        <f>D148</f>
        <v>53466</v>
      </c>
      <c r="F21" s="41" t="s">
        <v>807</v>
      </c>
    </row>
    <row r="22" spans="1:6">
      <c r="D22" s="144">
        <f>D177</f>
        <v>14521</v>
      </c>
      <c r="F22" s="41" t="s">
        <v>2335</v>
      </c>
    </row>
    <row r="23" spans="1:6" ht="15" thickBot="1">
      <c r="D23" s="142">
        <f>D200</f>
        <v>8809</v>
      </c>
      <c r="F23" s="41" t="s">
        <v>808</v>
      </c>
    </row>
    <row r="24" spans="1:6" ht="15" thickBot="1">
      <c r="D24" s="143">
        <f>SUM(D21:D23)</f>
        <v>76796</v>
      </c>
    </row>
    <row r="25" spans="1:6">
      <c r="D25" s="80"/>
    </row>
    <row r="26" spans="1:6">
      <c r="A26" s="41" t="s">
        <v>2338</v>
      </c>
      <c r="D26" s="141">
        <f>D77</f>
        <v>22992</v>
      </c>
      <c r="F26" s="41" t="s">
        <v>389</v>
      </c>
    </row>
    <row r="27" spans="1:6">
      <c r="D27" s="141">
        <f>D149</f>
        <v>16394</v>
      </c>
      <c r="F27" s="41" t="s">
        <v>807</v>
      </c>
    </row>
    <row r="28" spans="1:6" ht="15" thickBot="1">
      <c r="D28" s="79">
        <f>D102</f>
        <v>33406</v>
      </c>
      <c r="F28" s="41" t="s">
        <v>390</v>
      </c>
    </row>
    <row r="29" spans="1:6" ht="15" thickBot="1">
      <c r="D29" s="79">
        <f>SUM(D26:D28)</f>
        <v>72792</v>
      </c>
    </row>
    <row r="30" spans="1:6">
      <c r="D30" s="80"/>
    </row>
    <row r="31" spans="1:6">
      <c r="A31" s="41" t="s">
        <v>809</v>
      </c>
      <c r="D31" s="78">
        <f>D103</f>
        <v>74927</v>
      </c>
      <c r="F31" s="41" t="s">
        <v>390</v>
      </c>
    </row>
    <row r="32" spans="1:6">
      <c r="D32" s="80"/>
    </row>
    <row r="33" spans="1:6">
      <c r="A33" s="41" t="s">
        <v>626</v>
      </c>
      <c r="D33" s="78">
        <f>D201</f>
        <v>25882</v>
      </c>
      <c r="F33" s="41" t="s">
        <v>808</v>
      </c>
    </row>
    <row r="34" spans="1:6">
      <c r="D34" s="78">
        <f>D235</f>
        <v>4201</v>
      </c>
      <c r="F34" s="41" t="s">
        <v>627</v>
      </c>
    </row>
    <row r="35" spans="1:6" ht="15" thickBot="1">
      <c r="D35" s="79">
        <f>D260</f>
        <v>47525</v>
      </c>
      <c r="F35" s="41" t="s">
        <v>1033</v>
      </c>
    </row>
    <row r="36" spans="1:6" ht="15" thickBot="1">
      <c r="D36" s="79">
        <f>SUM(D33:D35)</f>
        <v>77608</v>
      </c>
    </row>
    <row r="37" spans="1:6">
      <c r="D37" s="141"/>
    </row>
    <row r="38" spans="1:6">
      <c r="A38" s="41" t="s">
        <v>2332</v>
      </c>
      <c r="D38" s="78">
        <f>D178</f>
        <v>34810</v>
      </c>
      <c r="F38" s="41" t="s">
        <v>2335</v>
      </c>
    </row>
    <row r="39" spans="1:6" ht="15" thickBot="1">
      <c r="D39" s="79">
        <f>WILTSHIRE!D20</f>
        <v>42110</v>
      </c>
      <c r="F39" s="41" t="s">
        <v>604</v>
      </c>
    </row>
    <row r="40" spans="1:6" ht="15" thickBot="1">
      <c r="D40" s="79">
        <f>D38+D39</f>
        <v>76920</v>
      </c>
    </row>
    <row r="41" spans="1:6">
      <c r="D41" s="80"/>
    </row>
    <row r="42" spans="1:6">
      <c r="A42" s="41" t="s">
        <v>628</v>
      </c>
      <c r="D42" s="78">
        <f>D236</f>
        <v>73511</v>
      </c>
      <c r="F42" s="41" t="s">
        <v>627</v>
      </c>
    </row>
    <row r="43" spans="1:6">
      <c r="D43" s="80"/>
    </row>
    <row r="44" spans="1:6">
      <c r="A44" s="41" t="s">
        <v>1041</v>
      </c>
      <c r="D44" s="78">
        <f>D19+D17+D24+D29+D31+D36+D38+D42</f>
        <v>555760</v>
      </c>
    </row>
    <row r="45" spans="1:6">
      <c r="D45" s="80"/>
    </row>
    <row r="46" spans="1:6">
      <c r="A46" s="41" t="s">
        <v>1042</v>
      </c>
      <c r="D46" s="78">
        <f>MAX(D19,D17,D24,D29,D31,D36,D40,D42)-MIN(D19,D17,D24,D29,D31,D36,D40,D42)</f>
        <v>6181</v>
      </c>
    </row>
    <row r="47" spans="1:6">
      <c r="D47" s="80"/>
    </row>
    <row r="48" spans="1:6">
      <c r="A48" s="41" t="s">
        <v>1045</v>
      </c>
      <c r="D48" s="78">
        <f>STDEVP(D19,D17,D24,D29,D31,D36,D40,D42)</f>
        <v>2068.9650643498067</v>
      </c>
    </row>
    <row r="50" spans="1:9">
      <c r="A50" s="41" t="s">
        <v>395</v>
      </c>
    </row>
    <row r="53" spans="1:9">
      <c r="D53" s="10" t="s">
        <v>285</v>
      </c>
      <c r="E53" s="11"/>
      <c r="F53" s="5" t="s">
        <v>1842</v>
      </c>
    </row>
    <row r="54" spans="1:9">
      <c r="D54" s="10">
        <v>2016</v>
      </c>
      <c r="E54" s="9"/>
      <c r="F54" s="12" t="s">
        <v>286</v>
      </c>
    </row>
    <row r="55" spans="1:9">
      <c r="A55" s="41" t="s">
        <v>791</v>
      </c>
      <c r="C55" s="41"/>
      <c r="D55" s="78">
        <f>SUM(D56:D73)</f>
        <v>130405</v>
      </c>
    </row>
    <row r="56" spans="1:9">
      <c r="A56" s="41" t="s">
        <v>812</v>
      </c>
      <c r="B56" s="41" t="s">
        <v>396</v>
      </c>
      <c r="C56" s="1" t="s">
        <v>1232</v>
      </c>
      <c r="D56" s="13">
        <v>7396</v>
      </c>
      <c r="F56" s="41" t="s">
        <v>2336</v>
      </c>
      <c r="G56" s="1"/>
      <c r="I56" s="1"/>
    </row>
    <row r="57" spans="1:9">
      <c r="A57" s="41" t="s">
        <v>813</v>
      </c>
      <c r="B57" s="41" t="s">
        <v>397</v>
      </c>
      <c r="C57" s="1" t="s">
        <v>1233</v>
      </c>
      <c r="D57" s="13">
        <v>5612</v>
      </c>
      <c r="F57" s="41" t="s">
        <v>2336</v>
      </c>
      <c r="G57" s="1"/>
      <c r="I57" s="1"/>
    </row>
    <row r="58" spans="1:9">
      <c r="A58" s="41" t="s">
        <v>814</v>
      </c>
      <c r="B58" s="41" t="s">
        <v>888</v>
      </c>
      <c r="C58" s="1" t="s">
        <v>1234</v>
      </c>
      <c r="D58" s="13">
        <v>6240</v>
      </c>
      <c r="F58" s="41" t="s">
        <v>2336</v>
      </c>
      <c r="G58" s="1"/>
      <c r="I58" s="1"/>
    </row>
    <row r="59" spans="1:9">
      <c r="A59" s="41" t="s">
        <v>815</v>
      </c>
      <c r="B59" s="41" t="s">
        <v>392</v>
      </c>
      <c r="C59" s="1" t="s">
        <v>1235</v>
      </c>
      <c r="D59" s="13">
        <v>7804</v>
      </c>
      <c r="F59" s="41" t="s">
        <v>2336</v>
      </c>
      <c r="G59" s="1"/>
      <c r="I59" s="1"/>
    </row>
    <row r="60" spans="1:9">
      <c r="A60" s="41" t="s">
        <v>816</v>
      </c>
      <c r="B60" s="41" t="s">
        <v>393</v>
      </c>
      <c r="C60" s="1" t="s">
        <v>1236</v>
      </c>
      <c r="D60" s="13">
        <v>7973</v>
      </c>
      <c r="F60" s="41" t="s">
        <v>2336</v>
      </c>
      <c r="G60" s="1"/>
      <c r="I60" s="1"/>
    </row>
    <row r="61" spans="1:9">
      <c r="A61" s="41" t="s">
        <v>826</v>
      </c>
      <c r="B61" s="41" t="s">
        <v>629</v>
      </c>
      <c r="C61" s="1" t="s">
        <v>1237</v>
      </c>
      <c r="D61" s="13">
        <v>7662</v>
      </c>
      <c r="F61" s="41" t="s">
        <v>2338</v>
      </c>
      <c r="G61" s="1"/>
      <c r="I61" s="1"/>
    </row>
    <row r="62" spans="1:9">
      <c r="A62" s="41" t="s">
        <v>827</v>
      </c>
      <c r="B62" s="41" t="s">
        <v>630</v>
      </c>
      <c r="C62" s="1" t="s">
        <v>1238</v>
      </c>
      <c r="D62" s="13">
        <v>7674</v>
      </c>
      <c r="F62" s="41" t="s">
        <v>2338</v>
      </c>
      <c r="G62" s="1"/>
      <c r="I62" s="1"/>
    </row>
    <row r="63" spans="1:9">
      <c r="A63" s="41" t="s">
        <v>828</v>
      </c>
      <c r="B63" s="41" t="s">
        <v>631</v>
      </c>
      <c r="C63" s="1" t="s">
        <v>1239</v>
      </c>
      <c r="D63" s="13">
        <v>7429</v>
      </c>
      <c r="F63" s="41" t="s">
        <v>2336</v>
      </c>
      <c r="G63" s="1"/>
      <c r="I63" s="1"/>
    </row>
    <row r="64" spans="1:9">
      <c r="A64" s="41" t="s">
        <v>829</v>
      </c>
      <c r="B64" s="41" t="s">
        <v>632</v>
      </c>
      <c r="C64" s="1" t="s">
        <v>1240</v>
      </c>
      <c r="D64" s="13">
        <v>7325</v>
      </c>
      <c r="F64" s="41" t="s">
        <v>2337</v>
      </c>
      <c r="G64" s="1"/>
      <c r="I64" s="1"/>
    </row>
    <row r="65" spans="1:9">
      <c r="A65" s="41" t="s">
        <v>830</v>
      </c>
      <c r="B65" s="41" t="s">
        <v>877</v>
      </c>
      <c r="C65" s="1" t="s">
        <v>1241</v>
      </c>
      <c r="D65" s="13">
        <v>7522</v>
      </c>
      <c r="F65" s="41" t="s">
        <v>2336</v>
      </c>
      <c r="G65" s="1"/>
      <c r="I65" s="1"/>
    </row>
    <row r="66" spans="1:9">
      <c r="A66" s="41" t="s">
        <v>831</v>
      </c>
      <c r="B66" s="41" t="s">
        <v>633</v>
      </c>
      <c r="C66" s="1" t="s">
        <v>1242</v>
      </c>
      <c r="D66" s="13">
        <v>7656</v>
      </c>
      <c r="F66" s="41" t="s">
        <v>2338</v>
      </c>
      <c r="G66" s="1"/>
      <c r="I66" s="1"/>
    </row>
    <row r="67" spans="1:9">
      <c r="A67" s="41" t="s">
        <v>832</v>
      </c>
      <c r="B67" s="41" t="s">
        <v>634</v>
      </c>
      <c r="C67" s="1" t="s">
        <v>1243</v>
      </c>
      <c r="D67" s="13">
        <v>7191</v>
      </c>
      <c r="F67" s="41" t="s">
        <v>2337</v>
      </c>
      <c r="G67" s="1"/>
      <c r="I67" s="1"/>
    </row>
    <row r="68" spans="1:9">
      <c r="A68" s="41" t="s">
        <v>833</v>
      </c>
      <c r="B68" s="41" t="s">
        <v>635</v>
      </c>
      <c r="C68" s="1" t="s">
        <v>1244</v>
      </c>
      <c r="D68" s="13">
        <v>6762</v>
      </c>
      <c r="F68" s="41" t="s">
        <v>2336</v>
      </c>
      <c r="G68" s="1"/>
      <c r="I68" s="1"/>
    </row>
    <row r="69" spans="1:9">
      <c r="A69" s="41" t="s">
        <v>834</v>
      </c>
      <c r="B69" s="41" t="s">
        <v>1071</v>
      </c>
      <c r="C69" s="1" t="s">
        <v>1245</v>
      </c>
      <c r="D69" s="13">
        <v>6672</v>
      </c>
      <c r="F69" s="41" t="s">
        <v>2337</v>
      </c>
      <c r="G69" s="1"/>
      <c r="I69" s="1"/>
    </row>
    <row r="70" spans="1:9">
      <c r="A70" s="41" t="s">
        <v>835</v>
      </c>
      <c r="B70" s="41" t="s">
        <v>1072</v>
      </c>
      <c r="C70" s="1" t="s">
        <v>1246</v>
      </c>
      <c r="D70" s="13">
        <v>7370</v>
      </c>
      <c r="F70" s="41" t="s">
        <v>2337</v>
      </c>
      <c r="G70" s="1"/>
      <c r="I70" s="1"/>
    </row>
    <row r="71" spans="1:9">
      <c r="A71" s="41" t="s">
        <v>836</v>
      </c>
      <c r="B71" s="41" t="s">
        <v>636</v>
      </c>
      <c r="C71" s="1" t="s">
        <v>1247</v>
      </c>
      <c r="D71" s="13">
        <v>6824</v>
      </c>
      <c r="F71" s="41" t="s">
        <v>2336</v>
      </c>
      <c r="G71" s="1"/>
      <c r="I71" s="1"/>
    </row>
    <row r="72" spans="1:9">
      <c r="A72" s="41" t="s">
        <v>837</v>
      </c>
      <c r="B72" s="41" t="s">
        <v>637</v>
      </c>
      <c r="C72" s="1" t="s">
        <v>1248</v>
      </c>
      <c r="D72" s="13">
        <v>7865</v>
      </c>
      <c r="F72" s="41" t="s">
        <v>2336</v>
      </c>
      <c r="G72" s="1"/>
      <c r="I72" s="1"/>
    </row>
    <row r="73" spans="1:9">
      <c r="A73" s="41" t="s">
        <v>838</v>
      </c>
      <c r="B73" s="41" t="s">
        <v>638</v>
      </c>
      <c r="C73" s="1" t="s">
        <v>1249</v>
      </c>
      <c r="D73" s="13">
        <v>7428</v>
      </c>
      <c r="F73" s="41" t="s">
        <v>2337</v>
      </c>
      <c r="G73" s="1"/>
      <c r="I73" s="1"/>
    </row>
    <row r="74" spans="1:9">
      <c r="D74" s="80"/>
    </row>
    <row r="75" spans="1:9">
      <c r="A75" s="41" t="s">
        <v>2339</v>
      </c>
      <c r="D75" s="78">
        <f>D64+D67+D69+D70+D73</f>
        <v>35986</v>
      </c>
    </row>
    <row r="76" spans="1:9">
      <c r="A76" s="41" t="s">
        <v>2336</v>
      </c>
      <c r="D76" s="78">
        <f>SUM(D56:D60)+D63+D65+D68+D71+D72</f>
        <v>71427</v>
      </c>
    </row>
    <row r="77" spans="1:9">
      <c r="A77" s="41" t="s">
        <v>2340</v>
      </c>
      <c r="D77" s="78">
        <f>D61+D62+D66</f>
        <v>22992</v>
      </c>
    </row>
    <row r="79" spans="1:9">
      <c r="A79" s="41" t="s">
        <v>639</v>
      </c>
    </row>
    <row r="80" spans="1:9">
      <c r="A80" s="41"/>
    </row>
    <row r="81" spans="1:9">
      <c r="A81" s="41"/>
    </row>
    <row r="82" spans="1:9">
      <c r="D82" s="10" t="s">
        <v>285</v>
      </c>
      <c r="E82" s="11"/>
      <c r="F82" s="5" t="s">
        <v>1842</v>
      </c>
    </row>
    <row r="83" spans="1:9">
      <c r="D83" s="10">
        <v>2016</v>
      </c>
      <c r="E83" s="9"/>
      <c r="F83" s="12" t="s">
        <v>286</v>
      </c>
    </row>
    <row r="84" spans="1:9">
      <c r="A84" s="41" t="s">
        <v>792</v>
      </c>
      <c r="D84" s="78">
        <f>SUM(D85:D100)</f>
        <v>108333</v>
      </c>
    </row>
    <row r="85" spans="1:9">
      <c r="A85" s="41" t="s">
        <v>812</v>
      </c>
      <c r="B85" s="41" t="s">
        <v>640</v>
      </c>
      <c r="C85" s="1" t="s">
        <v>2085</v>
      </c>
      <c r="D85" s="7">
        <v>7780</v>
      </c>
      <c r="F85" s="41" t="s">
        <v>809</v>
      </c>
      <c r="G85" s="1"/>
      <c r="I85" s="1"/>
    </row>
    <row r="86" spans="1:9">
      <c r="A86" s="41" t="s">
        <v>813</v>
      </c>
      <c r="B86" s="41" t="s">
        <v>641</v>
      </c>
      <c r="C86" s="1" t="s">
        <v>2086</v>
      </c>
      <c r="D86" s="7">
        <v>5396</v>
      </c>
      <c r="F86" s="41" t="s">
        <v>809</v>
      </c>
      <c r="G86" s="1"/>
      <c r="I86" s="1"/>
    </row>
    <row r="87" spans="1:9">
      <c r="A87" s="41" t="s">
        <v>814</v>
      </c>
      <c r="B87" s="41" t="s">
        <v>398</v>
      </c>
      <c r="C87" s="1" t="s">
        <v>2086</v>
      </c>
      <c r="D87" s="7">
        <v>5179</v>
      </c>
      <c r="F87" s="41" t="s">
        <v>809</v>
      </c>
      <c r="G87" s="1"/>
      <c r="I87" s="1"/>
    </row>
    <row r="88" spans="1:9">
      <c r="A88" s="41" t="s">
        <v>815</v>
      </c>
      <c r="B88" s="41" t="s">
        <v>399</v>
      </c>
      <c r="C88" s="1" t="s">
        <v>2087</v>
      </c>
      <c r="D88" s="7">
        <v>8335</v>
      </c>
      <c r="F88" s="41" t="s">
        <v>2338</v>
      </c>
      <c r="G88" s="1"/>
      <c r="I88" s="1"/>
    </row>
    <row r="89" spans="1:9">
      <c r="A89" s="41" t="s">
        <v>816</v>
      </c>
      <c r="B89" s="41" t="s">
        <v>400</v>
      </c>
      <c r="C89" s="1" t="s">
        <v>2088</v>
      </c>
      <c r="D89" s="7">
        <v>7862</v>
      </c>
      <c r="F89" s="41" t="s">
        <v>809</v>
      </c>
      <c r="G89" s="1"/>
      <c r="I89" s="1"/>
    </row>
    <row r="90" spans="1:9">
      <c r="A90" s="41" t="s">
        <v>826</v>
      </c>
      <c r="B90" s="41" t="s">
        <v>401</v>
      </c>
      <c r="C90" s="1" t="s">
        <v>2089</v>
      </c>
      <c r="D90" s="7">
        <v>5106</v>
      </c>
      <c r="F90" s="41" t="s">
        <v>2338</v>
      </c>
      <c r="G90" s="1"/>
      <c r="I90" s="1"/>
    </row>
    <row r="91" spans="1:9">
      <c r="A91" s="41" t="s">
        <v>827</v>
      </c>
      <c r="B91" s="41" t="s">
        <v>402</v>
      </c>
      <c r="C91" s="1" t="s">
        <v>2090</v>
      </c>
      <c r="D91" s="7">
        <v>4949</v>
      </c>
      <c r="F91" s="41" t="s">
        <v>2338</v>
      </c>
      <c r="G91" s="1"/>
      <c r="I91" s="1"/>
    </row>
    <row r="92" spans="1:9">
      <c r="A92" s="41" t="s">
        <v>828</v>
      </c>
      <c r="B92" s="41" t="s">
        <v>403</v>
      </c>
      <c r="C92" s="1" t="s">
        <v>2091</v>
      </c>
      <c r="D92" s="7">
        <v>7051</v>
      </c>
      <c r="F92" s="41" t="s">
        <v>2338</v>
      </c>
      <c r="G92" s="1"/>
      <c r="I92" s="1"/>
    </row>
    <row r="93" spans="1:9">
      <c r="A93" s="41" t="s">
        <v>829</v>
      </c>
      <c r="B93" s="41" t="s">
        <v>404</v>
      </c>
      <c r="C93" s="1" t="s">
        <v>2092</v>
      </c>
      <c r="D93" s="7">
        <v>4598</v>
      </c>
      <c r="F93" s="41" t="s">
        <v>809</v>
      </c>
      <c r="G93" s="1"/>
      <c r="I93" s="1"/>
    </row>
    <row r="94" spans="1:9">
      <c r="A94" s="41" t="s">
        <v>830</v>
      </c>
      <c r="B94" s="41" t="s">
        <v>405</v>
      </c>
      <c r="C94" s="1" t="s">
        <v>2093</v>
      </c>
      <c r="D94" s="7">
        <v>4894</v>
      </c>
      <c r="F94" s="41" t="s">
        <v>809</v>
      </c>
      <c r="G94" s="1"/>
      <c r="I94" s="1"/>
    </row>
    <row r="95" spans="1:9">
      <c r="A95" s="41" t="s">
        <v>831</v>
      </c>
      <c r="B95" s="41" t="s">
        <v>2100</v>
      </c>
      <c r="C95" s="1" t="s">
        <v>2094</v>
      </c>
      <c r="D95" s="7">
        <v>7965</v>
      </c>
      <c r="F95" s="41" t="s">
        <v>2338</v>
      </c>
      <c r="G95" s="1"/>
      <c r="I95" s="1"/>
    </row>
    <row r="96" spans="1:9">
      <c r="A96" s="41" t="s">
        <v>832</v>
      </c>
      <c r="B96" s="41" t="s">
        <v>1004</v>
      </c>
      <c r="C96" s="1" t="s">
        <v>2095</v>
      </c>
      <c r="D96" s="7">
        <v>7926</v>
      </c>
      <c r="F96" s="41" t="s">
        <v>809</v>
      </c>
      <c r="G96" s="1"/>
      <c r="I96" s="1"/>
    </row>
    <row r="97" spans="1:9">
      <c r="A97" s="41" t="s">
        <v>833</v>
      </c>
      <c r="B97" s="41" t="s">
        <v>406</v>
      </c>
      <c r="C97" s="1" t="s">
        <v>2096</v>
      </c>
      <c r="D97" s="8">
        <v>7853</v>
      </c>
      <c r="F97" s="41" t="s">
        <v>809</v>
      </c>
      <c r="G97" s="1"/>
      <c r="I97" s="1"/>
    </row>
    <row r="98" spans="1:9">
      <c r="A98" s="82">
        <v>14</v>
      </c>
      <c r="B98" s="41" t="s">
        <v>407</v>
      </c>
      <c r="C98" s="1" t="s">
        <v>2097</v>
      </c>
      <c r="D98" s="8">
        <v>8218</v>
      </c>
      <c r="F98" s="41" t="s">
        <v>809</v>
      </c>
      <c r="G98" s="1"/>
      <c r="I98" s="1"/>
    </row>
    <row r="99" spans="1:9">
      <c r="A99" s="82">
        <v>15</v>
      </c>
      <c r="B99" s="41" t="s">
        <v>408</v>
      </c>
      <c r="C99" s="1" t="s">
        <v>2098</v>
      </c>
      <c r="D99" s="8">
        <v>7804</v>
      </c>
      <c r="F99" s="41" t="s">
        <v>809</v>
      </c>
      <c r="G99" s="1"/>
      <c r="I99" s="1"/>
    </row>
    <row r="100" spans="1:9">
      <c r="A100" s="82">
        <v>16</v>
      </c>
      <c r="B100" s="41" t="s">
        <v>409</v>
      </c>
      <c r="C100" s="1" t="s">
        <v>2099</v>
      </c>
      <c r="D100" s="8">
        <v>7417</v>
      </c>
      <c r="F100" s="41" t="s">
        <v>809</v>
      </c>
      <c r="G100" s="1"/>
      <c r="I100" s="1"/>
    </row>
    <row r="101" spans="1:9">
      <c r="D101" s="80"/>
    </row>
    <row r="102" spans="1:9">
      <c r="A102" s="41" t="s">
        <v>2340</v>
      </c>
      <c r="D102" s="80">
        <f>D88+SUM(D90:D92)+D95</f>
        <v>33406</v>
      </c>
    </row>
    <row r="103" spans="1:9">
      <c r="A103" s="41" t="s">
        <v>809</v>
      </c>
      <c r="D103" s="78">
        <f>SUM(D85:D87)+D89+D93+D94+SUM(D96:D100)</f>
        <v>74927</v>
      </c>
    </row>
    <row r="105" spans="1:9">
      <c r="A105" s="41" t="s">
        <v>2101</v>
      </c>
    </row>
    <row r="106" spans="1:9">
      <c r="A106" s="41"/>
    </row>
    <row r="107" spans="1:9">
      <c r="A107" s="41"/>
    </row>
    <row r="108" spans="1:9">
      <c r="D108" s="10" t="s">
        <v>285</v>
      </c>
      <c r="E108" s="11"/>
      <c r="F108" s="5" t="s">
        <v>1842</v>
      </c>
    </row>
    <row r="109" spans="1:9">
      <c r="D109" s="10">
        <v>2016</v>
      </c>
      <c r="E109" s="9"/>
      <c r="F109" s="12" t="s">
        <v>286</v>
      </c>
    </row>
    <row r="110" spans="1:9">
      <c r="A110" s="41" t="s">
        <v>125</v>
      </c>
      <c r="D110" s="78">
        <f>SUM(D111:D121)</f>
        <v>37903</v>
      </c>
    </row>
    <row r="111" spans="1:9">
      <c r="A111" s="41" t="s">
        <v>812</v>
      </c>
      <c r="B111" s="41" t="s">
        <v>126</v>
      </c>
      <c r="C111" s="1" t="s">
        <v>1492</v>
      </c>
      <c r="D111" s="7">
        <v>3334</v>
      </c>
      <c r="F111" s="41" t="s">
        <v>2337</v>
      </c>
      <c r="G111" s="1"/>
      <c r="I111" s="1"/>
    </row>
    <row r="112" spans="1:9">
      <c r="A112" s="41" t="s">
        <v>813</v>
      </c>
      <c r="B112" s="41" t="s">
        <v>1009</v>
      </c>
      <c r="C112" s="1" t="s">
        <v>1493</v>
      </c>
      <c r="D112" s="7">
        <v>3405</v>
      </c>
      <c r="F112" s="41" t="s">
        <v>2337</v>
      </c>
      <c r="G112" s="1"/>
      <c r="I112" s="1"/>
    </row>
    <row r="113" spans="1:9">
      <c r="A113" s="41" t="s">
        <v>814</v>
      </c>
      <c r="B113" s="41" t="s">
        <v>127</v>
      </c>
      <c r="C113" s="1" t="s">
        <v>1494</v>
      </c>
      <c r="D113" s="7">
        <v>3065</v>
      </c>
      <c r="F113" s="41" t="s">
        <v>2337</v>
      </c>
      <c r="G113" s="1"/>
      <c r="I113" s="1"/>
    </row>
    <row r="114" spans="1:9">
      <c r="A114" s="41" t="s">
        <v>815</v>
      </c>
      <c r="B114" s="41" t="s">
        <v>128</v>
      </c>
      <c r="C114" s="1" t="s">
        <v>1495</v>
      </c>
      <c r="D114" s="7">
        <v>3256</v>
      </c>
      <c r="F114" s="41" t="s">
        <v>2337</v>
      </c>
      <c r="G114" s="1"/>
      <c r="I114" s="1"/>
    </row>
    <row r="115" spans="1:9">
      <c r="A115" s="41" t="s">
        <v>816</v>
      </c>
      <c r="B115" s="41" t="s">
        <v>129</v>
      </c>
      <c r="C115" s="1" t="s">
        <v>1496</v>
      </c>
      <c r="D115" s="7">
        <v>4161</v>
      </c>
      <c r="F115" s="41" t="s">
        <v>2337</v>
      </c>
      <c r="G115" s="1"/>
      <c r="I115" s="1"/>
    </row>
    <row r="116" spans="1:9">
      <c r="A116" s="41" t="s">
        <v>826</v>
      </c>
      <c r="B116" s="41" t="s">
        <v>130</v>
      </c>
      <c r="C116" s="1" t="s">
        <v>1497</v>
      </c>
      <c r="D116" s="7">
        <v>2928</v>
      </c>
      <c r="F116" s="41" t="s">
        <v>2337</v>
      </c>
      <c r="G116" s="1"/>
      <c r="I116" s="1"/>
    </row>
    <row r="117" spans="1:9">
      <c r="A117" s="41" t="s">
        <v>827</v>
      </c>
      <c r="B117" s="41" t="s">
        <v>131</v>
      </c>
      <c r="C117" s="1" t="s">
        <v>1498</v>
      </c>
      <c r="D117" s="7">
        <v>3208</v>
      </c>
      <c r="F117" s="41" t="s">
        <v>2337</v>
      </c>
      <c r="G117" s="1"/>
      <c r="I117" s="1"/>
    </row>
    <row r="118" spans="1:9">
      <c r="A118" s="41" t="s">
        <v>828</v>
      </c>
      <c r="B118" s="41" t="s">
        <v>646</v>
      </c>
      <c r="C118" s="1" t="s">
        <v>1499</v>
      </c>
      <c r="D118" s="7">
        <v>3294</v>
      </c>
      <c r="F118" s="41" t="s">
        <v>2337</v>
      </c>
      <c r="G118" s="1"/>
      <c r="I118" s="1"/>
    </row>
    <row r="119" spans="1:9">
      <c r="A119" s="41" t="s">
        <v>829</v>
      </c>
      <c r="B119" s="41" t="s">
        <v>647</v>
      </c>
      <c r="C119" s="1" t="s">
        <v>1500</v>
      </c>
      <c r="D119" s="8">
        <v>3217</v>
      </c>
      <c r="F119" s="41" t="s">
        <v>2337</v>
      </c>
      <c r="G119" s="1"/>
      <c r="I119" s="1"/>
    </row>
    <row r="120" spans="1:9">
      <c r="A120" s="41" t="s">
        <v>830</v>
      </c>
      <c r="B120" s="41" t="s">
        <v>73</v>
      </c>
      <c r="C120" s="1" t="s">
        <v>1501</v>
      </c>
      <c r="D120" s="8">
        <v>3329</v>
      </c>
      <c r="F120" s="41" t="s">
        <v>2337</v>
      </c>
      <c r="G120" s="1"/>
      <c r="I120" s="1"/>
    </row>
    <row r="121" spans="1:9">
      <c r="A121" s="83">
        <v>11</v>
      </c>
      <c r="B121" s="41" t="s">
        <v>648</v>
      </c>
      <c r="C121" s="1" t="s">
        <v>1502</v>
      </c>
      <c r="D121" s="8">
        <v>4706</v>
      </c>
      <c r="F121" s="41" t="s">
        <v>2337</v>
      </c>
      <c r="G121" s="1"/>
      <c r="I121" s="1"/>
    </row>
    <row r="122" spans="1:9">
      <c r="D122" s="80"/>
    </row>
    <row r="123" spans="1:9">
      <c r="A123" s="41" t="s">
        <v>2339</v>
      </c>
      <c r="D123" s="78">
        <f>SUM(D111:D121)</f>
        <v>37903</v>
      </c>
    </row>
    <row r="124" spans="1:9">
      <c r="A124" s="41"/>
      <c r="D124" s="78"/>
    </row>
    <row r="125" spans="1:9">
      <c r="A125" s="41" t="s">
        <v>410</v>
      </c>
      <c r="D125" s="78"/>
    </row>
    <row r="126" spans="1:9">
      <c r="A126" s="41"/>
      <c r="B126" s="41"/>
      <c r="D126" s="84"/>
    </row>
    <row r="127" spans="1:9">
      <c r="A127" s="41"/>
      <c r="B127" s="41"/>
      <c r="D127" s="84"/>
    </row>
    <row r="128" spans="1:9">
      <c r="D128" s="10" t="s">
        <v>285</v>
      </c>
      <c r="E128" s="11"/>
      <c r="F128" s="5" t="s">
        <v>1842</v>
      </c>
    </row>
    <row r="129" spans="1:9">
      <c r="D129" s="10">
        <v>2016</v>
      </c>
      <c r="E129" s="9"/>
      <c r="F129" s="12" t="s">
        <v>286</v>
      </c>
    </row>
    <row r="130" spans="1:9">
      <c r="A130" s="41" t="s">
        <v>411</v>
      </c>
      <c r="D130" s="78">
        <f>SUM(D131:D146)</f>
        <v>69860</v>
      </c>
    </row>
    <row r="131" spans="1:9">
      <c r="A131" s="41" t="s">
        <v>812</v>
      </c>
      <c r="B131" s="41" t="s">
        <v>120</v>
      </c>
      <c r="C131" s="1" t="s">
        <v>2102</v>
      </c>
      <c r="D131" s="8">
        <v>2444</v>
      </c>
      <c r="F131" s="38" t="s">
        <v>2341</v>
      </c>
      <c r="G131" s="1"/>
      <c r="I131" s="1"/>
    </row>
    <row r="132" spans="1:9">
      <c r="A132" s="41" t="s">
        <v>813</v>
      </c>
      <c r="B132" s="41" t="s">
        <v>121</v>
      </c>
      <c r="C132" s="1" t="s">
        <v>2108</v>
      </c>
      <c r="D132" s="7">
        <v>2403</v>
      </c>
      <c r="F132" s="41" t="s">
        <v>2338</v>
      </c>
      <c r="G132" s="1"/>
      <c r="I132" s="1"/>
    </row>
    <row r="133" spans="1:9">
      <c r="A133" s="41" t="s">
        <v>814</v>
      </c>
      <c r="B133" s="41" t="s">
        <v>122</v>
      </c>
      <c r="C133" s="1" t="s">
        <v>2109</v>
      </c>
      <c r="D133" s="8">
        <v>4898</v>
      </c>
      <c r="F133" s="38" t="s">
        <v>2341</v>
      </c>
      <c r="G133" s="1"/>
      <c r="I133" s="1"/>
    </row>
    <row r="134" spans="1:9">
      <c r="A134" s="41" t="s">
        <v>815</v>
      </c>
      <c r="B134" s="41" t="s">
        <v>123</v>
      </c>
      <c r="C134" s="1" t="s">
        <v>2110</v>
      </c>
      <c r="D134" s="8">
        <v>2042</v>
      </c>
      <c r="F134" s="38" t="s">
        <v>2341</v>
      </c>
      <c r="G134" s="1"/>
      <c r="I134" s="1"/>
    </row>
    <row r="135" spans="1:9">
      <c r="A135" s="41" t="s">
        <v>816</v>
      </c>
      <c r="B135" s="41" t="s">
        <v>2103</v>
      </c>
      <c r="C135" s="1" t="s">
        <v>2111</v>
      </c>
      <c r="D135" s="8">
        <v>7908</v>
      </c>
      <c r="F135" s="38" t="s">
        <v>2341</v>
      </c>
      <c r="G135" s="1"/>
      <c r="I135" s="1"/>
    </row>
    <row r="136" spans="1:9">
      <c r="A136" s="41" t="s">
        <v>826</v>
      </c>
      <c r="B136" s="41" t="s">
        <v>124</v>
      </c>
      <c r="C136" s="1" t="s">
        <v>2112</v>
      </c>
      <c r="D136" s="8">
        <v>2512</v>
      </c>
      <c r="F136" s="38" t="s">
        <v>2341</v>
      </c>
      <c r="G136" s="1"/>
      <c r="I136" s="1"/>
    </row>
    <row r="137" spans="1:9">
      <c r="A137" s="41" t="s">
        <v>827</v>
      </c>
      <c r="B137" s="41" t="s">
        <v>642</v>
      </c>
      <c r="C137" s="1" t="s">
        <v>2113</v>
      </c>
      <c r="D137" s="7">
        <v>6769</v>
      </c>
      <c r="F137" s="41" t="s">
        <v>2338</v>
      </c>
      <c r="G137" s="1"/>
      <c r="I137" s="1"/>
    </row>
    <row r="138" spans="1:9">
      <c r="A138" s="41" t="s">
        <v>828</v>
      </c>
      <c r="B138" s="41" t="s">
        <v>2104</v>
      </c>
      <c r="C138" s="1" t="s">
        <v>2114</v>
      </c>
      <c r="D138" s="7">
        <v>2660</v>
      </c>
      <c r="F138" s="41" t="s">
        <v>2338</v>
      </c>
      <c r="G138" s="1"/>
      <c r="I138" s="1"/>
    </row>
    <row r="139" spans="1:9">
      <c r="A139" s="41" t="s">
        <v>829</v>
      </c>
      <c r="B139" s="41" t="s">
        <v>643</v>
      </c>
      <c r="C139" s="1" t="s">
        <v>2115</v>
      </c>
      <c r="D139" s="8">
        <v>2278</v>
      </c>
      <c r="F139" s="41" t="s">
        <v>2341</v>
      </c>
      <c r="G139" s="1"/>
      <c r="I139" s="1"/>
    </row>
    <row r="140" spans="1:9">
      <c r="A140" s="41" t="s">
        <v>830</v>
      </c>
      <c r="B140" s="41" t="s">
        <v>644</v>
      </c>
      <c r="C140" s="1" t="s">
        <v>2116</v>
      </c>
      <c r="D140" s="7">
        <v>4562</v>
      </c>
      <c r="F140" s="41" t="s">
        <v>2338</v>
      </c>
      <c r="G140" s="1"/>
      <c r="I140" s="1"/>
    </row>
    <row r="141" spans="1:9">
      <c r="A141" s="41" t="s">
        <v>831</v>
      </c>
      <c r="B141" s="41" t="s">
        <v>457</v>
      </c>
      <c r="C141" s="1" t="s">
        <v>2117</v>
      </c>
      <c r="D141" s="7">
        <v>7174</v>
      </c>
      <c r="F141" s="41" t="s">
        <v>2341</v>
      </c>
      <c r="G141" s="1"/>
      <c r="I141" s="1"/>
    </row>
    <row r="142" spans="1:9">
      <c r="A142" s="41" t="s">
        <v>832</v>
      </c>
      <c r="B142" s="41" t="s">
        <v>645</v>
      </c>
      <c r="C142" s="1" t="s">
        <v>2118</v>
      </c>
      <c r="D142" s="8">
        <v>2177</v>
      </c>
      <c r="F142" s="41" t="s">
        <v>2341</v>
      </c>
      <c r="G142" s="1"/>
      <c r="I142" s="1"/>
    </row>
    <row r="143" spans="1:9">
      <c r="A143" s="41" t="s">
        <v>833</v>
      </c>
      <c r="B143" s="41" t="s">
        <v>2105</v>
      </c>
      <c r="C143" s="1" t="s">
        <v>2119</v>
      </c>
      <c r="D143" s="8">
        <v>4646</v>
      </c>
      <c r="F143" s="41" t="s">
        <v>2341</v>
      </c>
      <c r="G143" s="1"/>
      <c r="I143" s="1"/>
    </row>
    <row r="144" spans="1:9">
      <c r="A144" s="41" t="s">
        <v>834</v>
      </c>
      <c r="B144" s="41" t="s">
        <v>2106</v>
      </c>
      <c r="C144" s="1" t="s">
        <v>2120</v>
      </c>
      <c r="D144" s="8">
        <v>5079</v>
      </c>
      <c r="F144" s="41" t="s">
        <v>2341</v>
      </c>
      <c r="G144" s="1"/>
      <c r="I144" s="1"/>
    </row>
    <row r="145" spans="1:9">
      <c r="A145" s="41" t="s">
        <v>835</v>
      </c>
      <c r="B145" s="41" t="s">
        <v>2107</v>
      </c>
      <c r="C145" s="1" t="s">
        <v>2121</v>
      </c>
      <c r="D145" s="7">
        <v>7310</v>
      </c>
      <c r="F145" s="41" t="s">
        <v>2341</v>
      </c>
      <c r="G145" s="1"/>
      <c r="I145" s="1"/>
    </row>
    <row r="146" spans="1:9">
      <c r="A146" s="41" t="s">
        <v>836</v>
      </c>
      <c r="B146" s="41" t="s">
        <v>1047</v>
      </c>
      <c r="C146" s="1" t="s">
        <v>2122</v>
      </c>
      <c r="D146" s="8">
        <v>4998</v>
      </c>
      <c r="F146" s="41" t="s">
        <v>2341</v>
      </c>
      <c r="G146" s="1"/>
      <c r="I146" s="1"/>
    </row>
    <row r="147" spans="1:9">
      <c r="D147" s="80"/>
    </row>
    <row r="148" spans="1:9">
      <c r="A148" s="38" t="s">
        <v>2342</v>
      </c>
      <c r="D148" s="78">
        <f>D131+SUM(D133:D136)+D139+SUM(D141:D146)</f>
        <v>53466</v>
      </c>
    </row>
    <row r="149" spans="1:9">
      <c r="A149" s="41" t="s">
        <v>2340</v>
      </c>
      <c r="D149" s="78">
        <f>D132+D137+D138+D140</f>
        <v>16394</v>
      </c>
    </row>
    <row r="150" spans="1:9">
      <c r="A150" s="41"/>
      <c r="D150" s="78"/>
    </row>
    <row r="151" spans="1:9">
      <c r="A151" s="41" t="s">
        <v>2123</v>
      </c>
      <c r="D151" s="78"/>
    </row>
    <row r="152" spans="1:9">
      <c r="A152" s="41"/>
      <c r="B152" s="41"/>
      <c r="D152" s="84"/>
    </row>
    <row r="153" spans="1:9">
      <c r="A153" s="41"/>
      <c r="B153" s="41"/>
      <c r="D153" s="84"/>
    </row>
    <row r="154" spans="1:9">
      <c r="D154" s="10" t="s">
        <v>285</v>
      </c>
      <c r="E154" s="11"/>
      <c r="F154" s="5" t="s">
        <v>1842</v>
      </c>
    </row>
    <row r="155" spans="1:9">
      <c r="D155" s="10">
        <v>2016</v>
      </c>
      <c r="E155" s="9"/>
      <c r="F155" s="12" t="s">
        <v>286</v>
      </c>
    </row>
    <row r="156" spans="1:9">
      <c r="A156" s="41" t="s">
        <v>825</v>
      </c>
      <c r="D156" s="78">
        <f>SUM(D157:D175)</f>
        <v>49331</v>
      </c>
    </row>
    <row r="157" spans="1:9">
      <c r="A157" s="41" t="s">
        <v>812</v>
      </c>
      <c r="B157" s="41" t="s">
        <v>998</v>
      </c>
      <c r="C157" s="1" t="s">
        <v>2124</v>
      </c>
      <c r="D157" s="7">
        <v>2913</v>
      </c>
      <c r="F157" s="41" t="s">
        <v>2341</v>
      </c>
      <c r="G157" s="19"/>
      <c r="I157" s="1"/>
    </row>
    <row r="158" spans="1:9">
      <c r="A158" s="41" t="s">
        <v>813</v>
      </c>
      <c r="B158" s="41" t="s">
        <v>821</v>
      </c>
      <c r="C158" s="1" t="s">
        <v>2134</v>
      </c>
      <c r="D158" s="7">
        <v>2777</v>
      </c>
      <c r="F158" s="41" t="s">
        <v>2332</v>
      </c>
      <c r="G158" s="19"/>
      <c r="I158" s="1"/>
    </row>
    <row r="159" spans="1:9">
      <c r="A159" s="41" t="s">
        <v>814</v>
      </c>
      <c r="B159" s="41" t="s">
        <v>2125</v>
      </c>
      <c r="C159" s="1" t="s">
        <v>2135</v>
      </c>
      <c r="D159" s="7">
        <v>2999</v>
      </c>
      <c r="F159" s="41" t="s">
        <v>2341</v>
      </c>
      <c r="G159" s="19"/>
      <c r="I159" s="1"/>
    </row>
    <row r="160" spans="1:9">
      <c r="A160" s="41" t="s">
        <v>815</v>
      </c>
      <c r="B160" s="41" t="s">
        <v>822</v>
      </c>
      <c r="C160" s="1" t="s">
        <v>2136</v>
      </c>
      <c r="D160" s="7">
        <v>1537</v>
      </c>
      <c r="F160" s="41" t="s">
        <v>2341</v>
      </c>
      <c r="G160" s="19"/>
      <c r="I160" s="1"/>
    </row>
    <row r="161" spans="1:9">
      <c r="A161" s="41" t="s">
        <v>816</v>
      </c>
      <c r="B161" s="41" t="s">
        <v>823</v>
      </c>
      <c r="C161" s="1" t="s">
        <v>2137</v>
      </c>
      <c r="D161" s="7">
        <v>1513</v>
      </c>
      <c r="F161" s="41" t="s">
        <v>2341</v>
      </c>
      <c r="G161" s="19"/>
      <c r="I161" s="1"/>
    </row>
    <row r="162" spans="1:9">
      <c r="A162" s="41" t="s">
        <v>826</v>
      </c>
      <c r="B162" s="41" t="s">
        <v>824</v>
      </c>
      <c r="C162" s="1" t="s">
        <v>2138</v>
      </c>
      <c r="D162" s="7">
        <v>1318</v>
      </c>
      <c r="F162" s="41" t="s">
        <v>2341</v>
      </c>
      <c r="G162" s="19"/>
      <c r="I162" s="1"/>
    </row>
    <row r="163" spans="1:9">
      <c r="A163" s="41" t="s">
        <v>827</v>
      </c>
      <c r="B163" s="41" t="s">
        <v>817</v>
      </c>
      <c r="C163" s="1" t="s">
        <v>2139</v>
      </c>
      <c r="D163" s="7">
        <v>1533</v>
      </c>
      <c r="F163" s="41" t="s">
        <v>2332</v>
      </c>
      <c r="G163" s="19"/>
      <c r="I163" s="1"/>
    </row>
    <row r="164" spans="1:9">
      <c r="A164" s="41" t="s">
        <v>828</v>
      </c>
      <c r="B164" s="41" t="s">
        <v>2126</v>
      </c>
      <c r="C164" s="1" t="s">
        <v>2140</v>
      </c>
      <c r="D164" s="7">
        <v>3146</v>
      </c>
      <c r="F164" s="41" t="s">
        <v>2332</v>
      </c>
      <c r="G164" s="19"/>
      <c r="I164" s="1"/>
    </row>
    <row r="165" spans="1:9">
      <c r="A165" s="41" t="s">
        <v>829</v>
      </c>
      <c r="B165" s="41" t="s">
        <v>818</v>
      </c>
      <c r="C165" s="1" t="s">
        <v>2141</v>
      </c>
      <c r="D165" s="7">
        <v>4255</v>
      </c>
      <c r="F165" s="41" t="s">
        <v>2332</v>
      </c>
      <c r="G165" s="19"/>
      <c r="I165" s="1"/>
    </row>
    <row r="166" spans="1:9">
      <c r="A166" s="41" t="s">
        <v>830</v>
      </c>
      <c r="B166" s="41" t="s">
        <v>819</v>
      </c>
      <c r="C166" s="1" t="s">
        <v>2142</v>
      </c>
      <c r="D166" s="7">
        <v>4891</v>
      </c>
      <c r="F166" s="41" t="s">
        <v>2332</v>
      </c>
      <c r="G166" s="19"/>
      <c r="I166" s="1"/>
    </row>
    <row r="167" spans="1:9">
      <c r="A167" s="41" t="s">
        <v>831</v>
      </c>
      <c r="B167" s="41" t="s">
        <v>2127</v>
      </c>
      <c r="C167" s="1" t="s">
        <v>2143</v>
      </c>
      <c r="D167" s="7">
        <v>1484</v>
      </c>
      <c r="F167" s="41" t="s">
        <v>2341</v>
      </c>
      <c r="G167" s="19"/>
      <c r="I167" s="1"/>
    </row>
    <row r="168" spans="1:9">
      <c r="A168" s="41" t="s">
        <v>832</v>
      </c>
      <c r="B168" s="41" t="s">
        <v>820</v>
      </c>
      <c r="C168" s="1" t="s">
        <v>2144</v>
      </c>
      <c r="D168" s="7">
        <v>1464</v>
      </c>
      <c r="F168" s="41" t="s">
        <v>2332</v>
      </c>
      <c r="G168" s="19"/>
      <c r="I168" s="1"/>
    </row>
    <row r="169" spans="1:9">
      <c r="A169" s="41" t="s">
        <v>833</v>
      </c>
      <c r="B169" s="41" t="s">
        <v>2128</v>
      </c>
      <c r="C169" s="1" t="s">
        <v>2145</v>
      </c>
      <c r="D169" s="7">
        <v>3131</v>
      </c>
      <c r="F169" s="41" t="s">
        <v>2332</v>
      </c>
      <c r="G169" s="19"/>
      <c r="I169" s="1"/>
    </row>
    <row r="170" spans="1:9">
      <c r="A170" s="41" t="s">
        <v>834</v>
      </c>
      <c r="B170" s="41" t="s">
        <v>2129</v>
      </c>
      <c r="C170" s="1" t="s">
        <v>2146</v>
      </c>
      <c r="D170" s="7">
        <v>2757</v>
      </c>
      <c r="F170" s="41" t="s">
        <v>2341</v>
      </c>
      <c r="G170" s="19"/>
      <c r="I170" s="1"/>
    </row>
    <row r="171" spans="1:9">
      <c r="A171" s="41" t="s">
        <v>835</v>
      </c>
      <c r="B171" s="41" t="s">
        <v>2130</v>
      </c>
      <c r="C171" s="1" t="s">
        <v>2147</v>
      </c>
      <c r="D171" s="7">
        <v>2867</v>
      </c>
      <c r="F171" s="41" t="s">
        <v>2332</v>
      </c>
      <c r="G171" s="19"/>
      <c r="I171" s="1"/>
    </row>
    <row r="172" spans="1:9">
      <c r="A172" s="41" t="s">
        <v>836</v>
      </c>
      <c r="B172" s="41" t="s">
        <v>2131</v>
      </c>
      <c r="C172" s="1" t="s">
        <v>2148</v>
      </c>
      <c r="D172" s="8">
        <v>2881</v>
      </c>
      <c r="F172" s="41" t="s">
        <v>2332</v>
      </c>
      <c r="G172" s="20"/>
      <c r="I172" s="1"/>
    </row>
    <row r="173" spans="1:9">
      <c r="A173" s="41" t="s">
        <v>837</v>
      </c>
      <c r="B173" s="41" t="s">
        <v>2132</v>
      </c>
      <c r="C173" s="1" t="s">
        <v>2149</v>
      </c>
      <c r="D173" s="8">
        <v>2987</v>
      </c>
      <c r="F173" s="41" t="s">
        <v>2332</v>
      </c>
      <c r="G173" s="20"/>
      <c r="I173" s="1"/>
    </row>
    <row r="174" spans="1:9">
      <c r="A174" s="41" t="s">
        <v>838</v>
      </c>
      <c r="B174" s="41" t="s">
        <v>412</v>
      </c>
      <c r="C174" s="1" t="s">
        <v>2150</v>
      </c>
      <c r="D174" s="8">
        <v>1528</v>
      </c>
      <c r="F174" s="41" t="s">
        <v>2332</v>
      </c>
      <c r="G174" s="20"/>
      <c r="I174" s="1"/>
    </row>
    <row r="175" spans="1:9">
      <c r="A175" s="41" t="s">
        <v>840</v>
      </c>
      <c r="B175" s="41" t="s">
        <v>2133</v>
      </c>
      <c r="C175" s="1" t="s">
        <v>2151</v>
      </c>
      <c r="D175" s="8">
        <v>3350</v>
      </c>
      <c r="F175" s="41" t="s">
        <v>2332</v>
      </c>
      <c r="G175" s="20"/>
      <c r="I175" s="1"/>
    </row>
    <row r="176" spans="1:9">
      <c r="D176" s="80"/>
    </row>
    <row r="177" spans="1:9">
      <c r="A177" s="38" t="s">
        <v>2342</v>
      </c>
      <c r="D177" s="80">
        <f>D157+SUM(D159:D162)+D167+D170</f>
        <v>14521</v>
      </c>
    </row>
    <row r="178" spans="1:9">
      <c r="A178" s="41" t="s">
        <v>1048</v>
      </c>
      <c r="D178" s="78">
        <f>D158+SUM(D163:D166)+D168+D169+SUM(D171:D175)</f>
        <v>34810</v>
      </c>
    </row>
    <row r="179" spans="1:9">
      <c r="A179" s="41"/>
      <c r="D179" s="78"/>
    </row>
    <row r="180" spans="1:9">
      <c r="A180" s="41" t="s">
        <v>2152</v>
      </c>
      <c r="D180" s="78"/>
    </row>
    <row r="181" spans="1:9">
      <c r="A181" s="41"/>
      <c r="B181" s="41"/>
      <c r="C181" s="41"/>
      <c r="D181" s="84"/>
    </row>
    <row r="182" spans="1:9">
      <c r="A182" s="41"/>
      <c r="B182" s="41"/>
      <c r="C182" s="41"/>
      <c r="D182" s="84"/>
    </row>
    <row r="183" spans="1:9">
      <c r="D183" s="10" t="s">
        <v>285</v>
      </c>
      <c r="E183" s="11"/>
      <c r="F183" s="5" t="s">
        <v>1842</v>
      </c>
    </row>
    <row r="184" spans="1:9">
      <c r="D184" s="10">
        <v>2016</v>
      </c>
      <c r="E184" s="9"/>
      <c r="F184" s="12" t="s">
        <v>286</v>
      </c>
    </row>
    <row r="185" spans="1:9">
      <c r="A185" s="41" t="s">
        <v>132</v>
      </c>
      <c r="C185" s="41"/>
      <c r="D185" s="78">
        <f>SUM(D186:D198)</f>
        <v>34691</v>
      </c>
    </row>
    <row r="186" spans="1:9">
      <c r="A186" s="83">
        <v>1</v>
      </c>
      <c r="B186" s="41" t="s">
        <v>133</v>
      </c>
      <c r="C186" s="1" t="s">
        <v>2164</v>
      </c>
      <c r="D186" s="7">
        <v>1352</v>
      </c>
      <c r="F186" s="41" t="s">
        <v>626</v>
      </c>
      <c r="G186" s="1"/>
      <c r="I186" s="1"/>
    </row>
    <row r="187" spans="1:9">
      <c r="A187" s="83">
        <v>2</v>
      </c>
      <c r="B187" s="41" t="s">
        <v>883</v>
      </c>
      <c r="C187" s="1" t="s">
        <v>2165</v>
      </c>
      <c r="D187" s="7">
        <v>1411</v>
      </c>
      <c r="F187" s="41" t="s">
        <v>626</v>
      </c>
      <c r="G187" s="1"/>
      <c r="I187" s="1"/>
    </row>
    <row r="188" spans="1:9">
      <c r="A188" s="83">
        <v>3</v>
      </c>
      <c r="B188" s="41" t="s">
        <v>134</v>
      </c>
      <c r="C188" s="1" t="s">
        <v>2166</v>
      </c>
      <c r="D188" s="7">
        <v>1475</v>
      </c>
      <c r="F188" s="41" t="s">
        <v>626</v>
      </c>
      <c r="G188" s="1"/>
      <c r="I188" s="1"/>
    </row>
    <row r="189" spans="1:9">
      <c r="A189" s="83">
        <v>4</v>
      </c>
      <c r="B189" s="41" t="s">
        <v>135</v>
      </c>
      <c r="C189" s="1" t="s">
        <v>2167</v>
      </c>
      <c r="D189" s="7">
        <v>1281</v>
      </c>
      <c r="F189" s="41" t="s">
        <v>626</v>
      </c>
      <c r="G189" s="1"/>
      <c r="I189" s="1"/>
    </row>
    <row r="190" spans="1:9">
      <c r="A190" s="83">
        <v>5</v>
      </c>
      <c r="B190" s="38" t="s">
        <v>2153</v>
      </c>
      <c r="C190" s="1" t="s">
        <v>2155</v>
      </c>
      <c r="D190" s="7">
        <v>1331</v>
      </c>
      <c r="F190" s="41" t="s">
        <v>626</v>
      </c>
      <c r="G190" s="1"/>
      <c r="I190" s="1"/>
    </row>
    <row r="191" spans="1:9">
      <c r="A191" s="83">
        <v>6</v>
      </c>
      <c r="B191" s="41" t="s">
        <v>136</v>
      </c>
      <c r="C191" s="1" t="s">
        <v>2156</v>
      </c>
      <c r="D191" s="7">
        <v>2712</v>
      </c>
      <c r="F191" s="38" t="s">
        <v>2341</v>
      </c>
      <c r="G191" s="1"/>
      <c r="I191" s="1"/>
    </row>
    <row r="192" spans="1:9">
      <c r="A192" s="83">
        <v>7</v>
      </c>
      <c r="B192" s="41" t="s">
        <v>137</v>
      </c>
      <c r="C192" s="1" t="s">
        <v>2157</v>
      </c>
      <c r="D192" s="7">
        <v>3058</v>
      </c>
      <c r="F192" s="38" t="s">
        <v>2341</v>
      </c>
      <c r="G192" s="1"/>
      <c r="I192" s="1"/>
    </row>
    <row r="193" spans="1:9">
      <c r="A193" s="83">
        <v>8</v>
      </c>
      <c r="B193" s="41" t="s">
        <v>138</v>
      </c>
      <c r="C193" s="1" t="s">
        <v>2158</v>
      </c>
      <c r="D193" s="7">
        <v>3039</v>
      </c>
      <c r="F193" s="38" t="s">
        <v>2341</v>
      </c>
      <c r="G193" s="1"/>
      <c r="I193" s="1"/>
    </row>
    <row r="194" spans="1:9">
      <c r="A194" s="83">
        <v>9</v>
      </c>
      <c r="B194" s="41" t="s">
        <v>2154</v>
      </c>
      <c r="C194" s="1" t="s">
        <v>2159</v>
      </c>
      <c r="D194" s="7">
        <v>2506</v>
      </c>
      <c r="F194" s="38" t="s">
        <v>626</v>
      </c>
      <c r="G194" s="1"/>
      <c r="I194" s="1"/>
    </row>
    <row r="195" spans="1:9">
      <c r="A195" s="83">
        <v>10</v>
      </c>
      <c r="B195" s="41" t="s">
        <v>139</v>
      </c>
      <c r="C195" s="1" t="s">
        <v>2160</v>
      </c>
      <c r="D195" s="7">
        <v>3734</v>
      </c>
      <c r="F195" s="41" t="s">
        <v>626</v>
      </c>
      <c r="G195" s="1"/>
      <c r="I195" s="1"/>
    </row>
    <row r="196" spans="1:9">
      <c r="A196" s="83">
        <v>11</v>
      </c>
      <c r="B196" s="41" t="s">
        <v>140</v>
      </c>
      <c r="C196" s="1" t="s">
        <v>2161</v>
      </c>
      <c r="D196" s="7">
        <v>3862</v>
      </c>
      <c r="F196" s="41" t="s">
        <v>626</v>
      </c>
      <c r="G196" s="1"/>
      <c r="I196" s="1"/>
    </row>
    <row r="197" spans="1:9">
      <c r="A197" s="83">
        <v>12</v>
      </c>
      <c r="B197" s="41" t="s">
        <v>141</v>
      </c>
      <c r="C197" s="1" t="s">
        <v>2168</v>
      </c>
      <c r="D197" s="7">
        <v>4427</v>
      </c>
      <c r="F197" s="41" t="s">
        <v>626</v>
      </c>
      <c r="G197" s="1"/>
      <c r="I197" s="1"/>
    </row>
    <row r="198" spans="1:9">
      <c r="A198" s="83">
        <v>13</v>
      </c>
      <c r="B198" s="41" t="s">
        <v>142</v>
      </c>
      <c r="C198" s="1" t="s">
        <v>2321</v>
      </c>
      <c r="D198" s="7">
        <v>4503</v>
      </c>
      <c r="F198" s="41" t="s">
        <v>626</v>
      </c>
      <c r="G198" s="1"/>
      <c r="I198" s="1"/>
    </row>
    <row r="199" spans="1:9">
      <c r="D199" s="80"/>
    </row>
    <row r="200" spans="1:9">
      <c r="A200" s="38" t="s">
        <v>2342</v>
      </c>
      <c r="D200" s="78">
        <f>SUM(D191:D193)</f>
        <v>8809</v>
      </c>
    </row>
    <row r="201" spans="1:9">
      <c r="A201" s="41" t="s">
        <v>143</v>
      </c>
      <c r="D201" s="78">
        <f>SUM(D186:D190)+SUM(D194:D198)</f>
        <v>25882</v>
      </c>
    </row>
    <row r="202" spans="1:9">
      <c r="A202" s="41"/>
      <c r="B202" s="41"/>
      <c r="C202" s="41"/>
      <c r="D202" s="84"/>
    </row>
    <row r="203" spans="1:9">
      <c r="A203" s="41" t="s">
        <v>2162</v>
      </c>
      <c r="B203" s="41"/>
      <c r="C203" s="41"/>
      <c r="D203" s="84"/>
    </row>
    <row r="204" spans="1:9">
      <c r="A204" s="41" t="s">
        <v>2163</v>
      </c>
      <c r="B204" s="41"/>
      <c r="C204" s="41"/>
      <c r="D204" s="84"/>
    </row>
    <row r="205" spans="1:9">
      <c r="A205" s="41"/>
      <c r="B205" s="41"/>
      <c r="C205" s="41"/>
      <c r="D205" s="84"/>
    </row>
    <row r="206" spans="1:9">
      <c r="A206" s="41"/>
      <c r="B206" s="41"/>
      <c r="C206" s="41"/>
      <c r="D206" s="84"/>
    </row>
    <row r="207" spans="1:9">
      <c r="D207" s="10" t="s">
        <v>285</v>
      </c>
      <c r="E207" s="11"/>
      <c r="F207" s="5" t="s">
        <v>1842</v>
      </c>
    </row>
    <row r="208" spans="1:9">
      <c r="D208" s="10">
        <v>2016</v>
      </c>
      <c r="E208" s="9"/>
      <c r="F208" s="12" t="s">
        <v>286</v>
      </c>
    </row>
    <row r="209" spans="1:9">
      <c r="A209" s="41" t="s">
        <v>423</v>
      </c>
      <c r="C209" s="41"/>
      <c r="D209" s="78">
        <f>SUM(D210:D233)</f>
        <v>77712</v>
      </c>
    </row>
    <row r="210" spans="1:9">
      <c r="A210" s="41" t="s">
        <v>812</v>
      </c>
      <c r="B210" s="41" t="s">
        <v>424</v>
      </c>
      <c r="C210" s="1" t="s">
        <v>2287</v>
      </c>
      <c r="D210" s="7">
        <v>4101</v>
      </c>
      <c r="F210" s="41" t="s">
        <v>628</v>
      </c>
      <c r="G210" s="19"/>
      <c r="I210" s="1"/>
    </row>
    <row r="211" spans="1:9">
      <c r="A211" s="41" t="s">
        <v>813</v>
      </c>
      <c r="B211" s="41" t="s">
        <v>413</v>
      </c>
      <c r="C211" s="1" t="s">
        <v>2290</v>
      </c>
      <c r="D211" s="7">
        <v>5784</v>
      </c>
      <c r="F211" s="41" t="s">
        <v>628</v>
      </c>
      <c r="G211" s="19"/>
      <c r="I211" s="1"/>
    </row>
    <row r="212" spans="1:9">
      <c r="A212" s="41" t="s">
        <v>814</v>
      </c>
      <c r="B212" s="41" t="s">
        <v>2288</v>
      </c>
      <c r="C212" s="1" t="s">
        <v>2291</v>
      </c>
      <c r="D212" s="7">
        <v>5133</v>
      </c>
      <c r="F212" s="41" t="s">
        <v>628</v>
      </c>
      <c r="G212" s="19"/>
      <c r="I212" s="1"/>
    </row>
    <row r="213" spans="1:9">
      <c r="A213" s="41" t="s">
        <v>815</v>
      </c>
      <c r="B213" s="41" t="s">
        <v>2289</v>
      </c>
      <c r="C213" s="1" t="s">
        <v>2292</v>
      </c>
      <c r="D213" s="7">
        <v>4201</v>
      </c>
      <c r="F213" s="41" t="s">
        <v>626</v>
      </c>
      <c r="G213" s="19"/>
      <c r="I213" s="1"/>
    </row>
    <row r="214" spans="1:9">
      <c r="A214" s="41" t="s">
        <v>816</v>
      </c>
      <c r="B214" s="41" t="s">
        <v>414</v>
      </c>
      <c r="C214" s="1" t="s">
        <v>2293</v>
      </c>
      <c r="D214" s="7">
        <v>2093</v>
      </c>
      <c r="F214" s="41" t="s">
        <v>628</v>
      </c>
      <c r="G214" s="19"/>
      <c r="I214" s="1"/>
    </row>
    <row r="215" spans="1:9">
      <c r="A215" s="41" t="s">
        <v>826</v>
      </c>
      <c r="B215" s="41" t="s">
        <v>415</v>
      </c>
      <c r="C215" s="1" t="s">
        <v>2298</v>
      </c>
      <c r="D215" s="7">
        <v>2084</v>
      </c>
      <c r="F215" s="41" t="s">
        <v>628</v>
      </c>
      <c r="G215" s="19"/>
      <c r="I215" s="1"/>
    </row>
    <row r="216" spans="1:9">
      <c r="A216" s="41" t="s">
        <v>827</v>
      </c>
      <c r="B216" s="41" t="s">
        <v>2294</v>
      </c>
      <c r="C216" s="1" t="s">
        <v>2299</v>
      </c>
      <c r="D216" s="7">
        <v>4043</v>
      </c>
      <c r="F216" s="41" t="s">
        <v>628</v>
      </c>
      <c r="G216" s="19"/>
      <c r="I216" s="1"/>
    </row>
    <row r="217" spans="1:9">
      <c r="A217" s="41" t="s">
        <v>828</v>
      </c>
      <c r="B217" s="41" t="s">
        <v>2295</v>
      </c>
      <c r="C217" s="1" t="s">
        <v>2300</v>
      </c>
      <c r="D217" s="7">
        <v>5466</v>
      </c>
      <c r="F217" s="41" t="s">
        <v>628</v>
      </c>
      <c r="G217" s="19"/>
      <c r="I217" s="1"/>
    </row>
    <row r="218" spans="1:9">
      <c r="A218" s="41" t="s">
        <v>829</v>
      </c>
      <c r="B218" s="41" t="s">
        <v>2296</v>
      </c>
      <c r="C218" s="1" t="s">
        <v>2301</v>
      </c>
      <c r="D218" s="7">
        <v>1933</v>
      </c>
      <c r="F218" s="41" t="s">
        <v>628</v>
      </c>
      <c r="G218" s="19"/>
      <c r="I218" s="1"/>
    </row>
    <row r="219" spans="1:9">
      <c r="A219" s="41" t="s">
        <v>830</v>
      </c>
      <c r="B219" s="41" t="s">
        <v>1</v>
      </c>
      <c r="C219" s="1" t="s">
        <v>2302</v>
      </c>
      <c r="D219" s="7">
        <v>3614</v>
      </c>
      <c r="F219" s="41" t="s">
        <v>628</v>
      </c>
      <c r="G219" s="19"/>
      <c r="I219" s="1"/>
    </row>
    <row r="220" spans="1:9">
      <c r="A220" s="41" t="s">
        <v>831</v>
      </c>
      <c r="B220" s="41" t="s">
        <v>2</v>
      </c>
      <c r="C220" s="1" t="s">
        <v>2303</v>
      </c>
      <c r="D220" s="7">
        <v>4206</v>
      </c>
      <c r="F220" s="41" t="s">
        <v>628</v>
      </c>
      <c r="G220" s="19"/>
      <c r="I220" s="1"/>
    </row>
    <row r="221" spans="1:9">
      <c r="A221" s="41" t="s">
        <v>832</v>
      </c>
      <c r="B221" s="41" t="s">
        <v>3</v>
      </c>
      <c r="C221" s="1" t="s">
        <v>2304</v>
      </c>
      <c r="D221" s="7">
        <v>3430</v>
      </c>
      <c r="F221" s="41" t="s">
        <v>628</v>
      </c>
      <c r="G221" s="19"/>
      <c r="I221" s="1"/>
    </row>
    <row r="222" spans="1:9">
      <c r="A222" s="41" t="s">
        <v>833</v>
      </c>
      <c r="B222" s="41" t="s">
        <v>4</v>
      </c>
      <c r="C222" s="1" t="s">
        <v>2305</v>
      </c>
      <c r="D222" s="7">
        <v>3539</v>
      </c>
      <c r="F222" s="41" t="s">
        <v>628</v>
      </c>
      <c r="G222" s="19"/>
      <c r="I222" s="1"/>
    </row>
    <row r="223" spans="1:9">
      <c r="A223" s="41" t="s">
        <v>834</v>
      </c>
      <c r="B223" s="41" t="s">
        <v>5</v>
      </c>
      <c r="C223" s="1" t="s">
        <v>2306</v>
      </c>
      <c r="D223" s="8">
        <v>1865</v>
      </c>
      <c r="F223" s="41" t="s">
        <v>628</v>
      </c>
      <c r="G223" s="19"/>
      <c r="I223" s="1"/>
    </row>
    <row r="224" spans="1:9">
      <c r="A224" s="41" t="s">
        <v>835</v>
      </c>
      <c r="B224" s="41" t="s">
        <v>2297</v>
      </c>
      <c r="C224" s="1" t="s">
        <v>2307</v>
      </c>
      <c r="D224" s="8">
        <v>3920</v>
      </c>
      <c r="F224" s="41" t="s">
        <v>628</v>
      </c>
      <c r="G224" s="20"/>
      <c r="I224" s="1"/>
    </row>
    <row r="225" spans="1:9">
      <c r="A225" s="41" t="s">
        <v>836</v>
      </c>
      <c r="B225" s="41" t="s">
        <v>6</v>
      </c>
      <c r="C225" s="1" t="s">
        <v>2308</v>
      </c>
      <c r="D225" s="8">
        <v>2024</v>
      </c>
      <c r="F225" s="41" t="s">
        <v>628</v>
      </c>
      <c r="G225" s="20"/>
      <c r="I225" s="1"/>
    </row>
    <row r="226" spans="1:9">
      <c r="A226" s="41" t="s">
        <v>837</v>
      </c>
      <c r="B226" s="41" t="s">
        <v>7</v>
      </c>
      <c r="C226" s="1" t="s">
        <v>2309</v>
      </c>
      <c r="D226" s="8">
        <v>2029</v>
      </c>
      <c r="F226" s="41" t="s">
        <v>628</v>
      </c>
      <c r="G226" s="20"/>
      <c r="I226" s="1"/>
    </row>
    <row r="227" spans="1:9">
      <c r="A227" s="41" t="s">
        <v>838</v>
      </c>
      <c r="B227" s="41" t="s">
        <v>236</v>
      </c>
      <c r="C227" s="1" t="s">
        <v>2310</v>
      </c>
      <c r="D227" s="8">
        <v>2060</v>
      </c>
      <c r="F227" s="41" t="s">
        <v>628</v>
      </c>
      <c r="G227" s="20"/>
      <c r="I227" s="1"/>
    </row>
    <row r="228" spans="1:9">
      <c r="A228" s="41" t="s">
        <v>840</v>
      </c>
      <c r="B228" s="41" t="s">
        <v>237</v>
      </c>
      <c r="C228" s="1" t="s">
        <v>2311</v>
      </c>
      <c r="D228" s="8">
        <v>1954</v>
      </c>
      <c r="F228" s="41" t="s">
        <v>628</v>
      </c>
      <c r="G228" s="20"/>
      <c r="I228" s="1"/>
    </row>
    <row r="229" spans="1:9">
      <c r="A229" s="41" t="s">
        <v>841</v>
      </c>
      <c r="B229" s="41" t="s">
        <v>238</v>
      </c>
      <c r="C229" s="1" t="s">
        <v>2314</v>
      </c>
      <c r="D229" s="8">
        <v>1911</v>
      </c>
      <c r="F229" s="41" t="s">
        <v>628</v>
      </c>
      <c r="G229" s="20"/>
      <c r="I229" s="1"/>
    </row>
    <row r="230" spans="1:9">
      <c r="A230" s="41" t="s">
        <v>878</v>
      </c>
      <c r="B230" s="41" t="s">
        <v>239</v>
      </c>
      <c r="C230" s="1" t="s">
        <v>2315</v>
      </c>
      <c r="D230" s="8">
        <v>3693</v>
      </c>
      <c r="F230" s="41" t="s">
        <v>628</v>
      </c>
      <c r="G230" s="20"/>
      <c r="I230" s="1"/>
    </row>
    <row r="231" spans="1:9">
      <c r="A231" s="41" t="s">
        <v>879</v>
      </c>
      <c r="B231" s="41" t="s">
        <v>240</v>
      </c>
      <c r="C231" s="1" t="s">
        <v>2316</v>
      </c>
      <c r="D231" s="8">
        <v>3067</v>
      </c>
      <c r="F231" s="41" t="s">
        <v>628</v>
      </c>
      <c r="G231" s="20"/>
      <c r="I231" s="1"/>
    </row>
    <row r="232" spans="1:9">
      <c r="A232" s="41" t="s">
        <v>880</v>
      </c>
      <c r="B232" s="41" t="s">
        <v>241</v>
      </c>
      <c r="C232" s="1" t="s">
        <v>2317</v>
      </c>
      <c r="D232" s="8">
        <v>1874</v>
      </c>
      <c r="F232" s="41" t="s">
        <v>628</v>
      </c>
      <c r="G232" s="20"/>
      <c r="I232" s="1"/>
    </row>
    <row r="233" spans="1:9">
      <c r="A233" s="41" t="s">
        <v>721</v>
      </c>
      <c r="B233" s="41" t="s">
        <v>2312</v>
      </c>
      <c r="C233" s="1" t="s">
        <v>2318</v>
      </c>
      <c r="D233" s="8">
        <v>3688</v>
      </c>
      <c r="F233" s="41" t="s">
        <v>628</v>
      </c>
      <c r="G233" s="20"/>
      <c r="I233" s="1"/>
    </row>
    <row r="234" spans="1:9">
      <c r="D234" s="80"/>
    </row>
    <row r="235" spans="1:9">
      <c r="A235" s="41" t="s">
        <v>143</v>
      </c>
      <c r="D235" s="78">
        <f>D213</f>
        <v>4201</v>
      </c>
    </row>
    <row r="236" spans="1:9">
      <c r="A236" s="41" t="s">
        <v>628</v>
      </c>
      <c r="D236" s="78">
        <f>SUM(D210:D212)+SUM(D214:D233)</f>
        <v>73511</v>
      </c>
    </row>
    <row r="237" spans="1:9">
      <c r="A237" s="41"/>
      <c r="D237" s="78"/>
    </row>
    <row r="238" spans="1:9">
      <c r="A238" s="41" t="s">
        <v>2313</v>
      </c>
      <c r="D238" s="78"/>
    </row>
    <row r="239" spans="1:9">
      <c r="A239" s="41"/>
      <c r="B239" s="41"/>
      <c r="D239" s="84"/>
    </row>
    <row r="240" spans="1:9">
      <c r="A240" s="41"/>
      <c r="B240" s="41"/>
      <c r="D240" s="84"/>
    </row>
    <row r="241" spans="1:9">
      <c r="D241" s="10" t="s">
        <v>285</v>
      </c>
      <c r="E241" s="11"/>
      <c r="F241" s="5" t="s">
        <v>1842</v>
      </c>
    </row>
    <row r="242" spans="1:9">
      <c r="D242" s="10">
        <v>2016</v>
      </c>
      <c r="E242" s="9"/>
      <c r="F242" s="12" t="s">
        <v>286</v>
      </c>
    </row>
    <row r="243" spans="1:9">
      <c r="A243" s="41" t="s">
        <v>271</v>
      </c>
      <c r="D243" s="78">
        <f>SUM(D244:D258)</f>
        <v>47525</v>
      </c>
    </row>
    <row r="244" spans="1:9">
      <c r="A244" s="41" t="s">
        <v>812</v>
      </c>
      <c r="B244" s="41" t="s">
        <v>74</v>
      </c>
      <c r="C244" s="1" t="s">
        <v>1503</v>
      </c>
      <c r="D244" s="7">
        <v>2442</v>
      </c>
      <c r="F244" s="41" t="s">
        <v>626</v>
      </c>
      <c r="G244" s="19"/>
      <c r="I244" s="1"/>
    </row>
    <row r="245" spans="1:9">
      <c r="A245" s="41" t="s">
        <v>813</v>
      </c>
      <c r="B245" s="41" t="s">
        <v>272</v>
      </c>
      <c r="C245" s="1" t="s">
        <v>1504</v>
      </c>
      <c r="D245" s="7">
        <v>3979</v>
      </c>
      <c r="F245" s="41" t="s">
        <v>626</v>
      </c>
      <c r="G245" s="19"/>
      <c r="I245" s="1"/>
    </row>
    <row r="246" spans="1:9">
      <c r="A246" s="41" t="s">
        <v>814</v>
      </c>
      <c r="B246" s="41" t="s">
        <v>625</v>
      </c>
      <c r="C246" s="1" t="s">
        <v>1505</v>
      </c>
      <c r="D246" s="7">
        <v>4213</v>
      </c>
      <c r="F246" s="41" t="s">
        <v>626</v>
      </c>
      <c r="G246" s="19"/>
      <c r="I246" s="1"/>
    </row>
    <row r="247" spans="1:9">
      <c r="A247" s="41" t="s">
        <v>815</v>
      </c>
      <c r="B247" s="41" t="s">
        <v>273</v>
      </c>
      <c r="C247" s="1" t="s">
        <v>1506</v>
      </c>
      <c r="D247" s="7">
        <v>2787</v>
      </c>
      <c r="F247" s="41" t="s">
        <v>626</v>
      </c>
      <c r="G247" s="19"/>
      <c r="I247" s="1"/>
    </row>
    <row r="248" spans="1:9">
      <c r="A248" s="41" t="s">
        <v>816</v>
      </c>
      <c r="B248" s="41" t="s">
        <v>274</v>
      </c>
      <c r="C248" s="1" t="s">
        <v>1507</v>
      </c>
      <c r="D248" s="7">
        <v>2477</v>
      </c>
      <c r="F248" s="41" t="s">
        <v>626</v>
      </c>
      <c r="G248" s="19"/>
      <c r="I248" s="1"/>
    </row>
    <row r="249" spans="1:9">
      <c r="A249" s="41" t="s">
        <v>826</v>
      </c>
      <c r="B249" s="41" t="s">
        <v>275</v>
      </c>
      <c r="C249" s="1" t="s">
        <v>1508</v>
      </c>
      <c r="D249" s="7">
        <v>3689</v>
      </c>
      <c r="F249" s="41" t="s">
        <v>626</v>
      </c>
      <c r="G249" s="19"/>
      <c r="I249" s="1"/>
    </row>
    <row r="250" spans="1:9">
      <c r="A250" s="41" t="s">
        <v>827</v>
      </c>
      <c r="B250" s="41" t="s">
        <v>839</v>
      </c>
      <c r="C250" s="1" t="s">
        <v>1509</v>
      </c>
      <c r="D250" s="7">
        <v>2573</v>
      </c>
      <c r="F250" s="41" t="s">
        <v>626</v>
      </c>
      <c r="G250" s="19"/>
      <c r="I250" s="1"/>
    </row>
    <row r="251" spans="1:9">
      <c r="A251" s="41" t="s">
        <v>828</v>
      </c>
      <c r="B251" s="41" t="s">
        <v>276</v>
      </c>
      <c r="C251" s="1" t="s">
        <v>1510</v>
      </c>
      <c r="D251" s="7">
        <v>2780</v>
      </c>
      <c r="F251" s="41" t="s">
        <v>626</v>
      </c>
      <c r="G251" s="19"/>
      <c r="I251" s="1"/>
    </row>
    <row r="252" spans="1:9">
      <c r="A252" s="41" t="s">
        <v>829</v>
      </c>
      <c r="B252" s="41" t="s">
        <v>8</v>
      </c>
      <c r="C252" s="1" t="s">
        <v>1511</v>
      </c>
      <c r="D252" s="7">
        <v>2610</v>
      </c>
      <c r="F252" s="41" t="s">
        <v>626</v>
      </c>
      <c r="G252" s="19"/>
      <c r="I252" s="1"/>
    </row>
    <row r="253" spans="1:9">
      <c r="A253" s="41" t="s">
        <v>830</v>
      </c>
      <c r="B253" s="41" t="s">
        <v>9</v>
      </c>
      <c r="C253" s="1" t="s">
        <v>1512</v>
      </c>
      <c r="D253" s="7">
        <v>4003</v>
      </c>
      <c r="F253" s="41" t="s">
        <v>626</v>
      </c>
      <c r="G253" s="19"/>
      <c r="I253" s="1"/>
    </row>
    <row r="254" spans="1:9">
      <c r="A254" s="41" t="s">
        <v>831</v>
      </c>
      <c r="B254" s="41" t="s">
        <v>10</v>
      </c>
      <c r="C254" s="1" t="s">
        <v>1513</v>
      </c>
      <c r="D254" s="7">
        <v>2752</v>
      </c>
      <c r="F254" s="41" t="s">
        <v>626</v>
      </c>
      <c r="G254" s="19"/>
      <c r="I254" s="1"/>
    </row>
    <row r="255" spans="1:9">
      <c r="A255" s="41" t="s">
        <v>832</v>
      </c>
      <c r="B255" s="41" t="s">
        <v>11</v>
      </c>
      <c r="C255" s="1" t="s">
        <v>1514</v>
      </c>
      <c r="D255" s="7">
        <v>2760</v>
      </c>
      <c r="F255" s="41" t="s">
        <v>626</v>
      </c>
      <c r="G255" s="19"/>
      <c r="I255" s="1"/>
    </row>
    <row r="256" spans="1:9">
      <c r="A256" s="41" t="s">
        <v>833</v>
      </c>
      <c r="B256" s="41" t="s">
        <v>12</v>
      </c>
      <c r="C256" s="1" t="s">
        <v>1515</v>
      </c>
      <c r="D256" s="7">
        <v>2493</v>
      </c>
      <c r="F256" s="41" t="s">
        <v>626</v>
      </c>
      <c r="G256" s="19"/>
      <c r="I256" s="1"/>
    </row>
    <row r="257" spans="1:9">
      <c r="A257" s="83">
        <v>14</v>
      </c>
      <c r="B257" s="41" t="s">
        <v>13</v>
      </c>
      <c r="C257" s="1" t="s">
        <v>1516</v>
      </c>
      <c r="D257" s="7">
        <v>3848</v>
      </c>
      <c r="F257" s="41" t="s">
        <v>626</v>
      </c>
      <c r="G257" s="19"/>
      <c r="I257" s="1"/>
    </row>
    <row r="258" spans="1:9">
      <c r="A258" s="83">
        <v>15</v>
      </c>
      <c r="B258" s="41" t="s">
        <v>14</v>
      </c>
      <c r="C258" s="1" t="s">
        <v>1517</v>
      </c>
      <c r="D258" s="7">
        <v>4119</v>
      </c>
      <c r="F258" s="41" t="s">
        <v>626</v>
      </c>
      <c r="G258" s="19"/>
      <c r="I258" s="1"/>
    </row>
    <row r="259" spans="1:9">
      <c r="D259" s="80"/>
    </row>
    <row r="260" spans="1:9">
      <c r="A260" s="41" t="s">
        <v>143</v>
      </c>
      <c r="D260" s="78">
        <f>SUM(D244:D258)</f>
        <v>47525</v>
      </c>
    </row>
    <row r="262" spans="1:9">
      <c r="A262" s="38" t="s">
        <v>15</v>
      </c>
    </row>
  </sheetData>
  <phoneticPr fontId="5" type="noConversion"/>
  <printOptions gridLinesSet="0"/>
  <pageMargins left="0.78740157480314965" right="0" top="0.51181102362204722" bottom="0.51181102362204722" header="0.51181102362204722" footer="0.51181102362204722"/>
  <pageSetup paperSize="9" scale="70" orientation="portrait" horizontalDpi="300" verticalDpi="300" r:id="rId1"/>
  <headerFooter alignWithMargins="0">
    <oddFooter>&amp;C&amp;"Times New Roman,Regular"&amp;8&amp;P of &amp;N</oddFooter>
  </headerFooter>
  <ignoredErrors>
    <ignoredError sqref="D110 D260 D243 D156 D123 D55 D199 D30:D36 D41:D43 D75:D77 D3:D17 D26:D27 D84 D102:D103 D19:D20 D130 D148:D149 D185 D28:D29 D178 D235:D236 D38:D39 D47 D45 D44 D46 D48 D201 D209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140"/>
  <sheetViews>
    <sheetView showGridLines="0" zoomScaleNormal="100" workbookViewId="0"/>
  </sheetViews>
  <sheetFormatPr defaultColWidth="12.59765625" defaultRowHeight="14.5"/>
  <cols>
    <col min="1" max="1" width="4.8984375" style="297" customWidth="1"/>
    <col min="2" max="2" width="40.8984375" style="297" customWidth="1"/>
    <col min="3" max="3" width="11.59765625" style="297" customWidth="1"/>
    <col min="4" max="4" width="10" style="297" customWidth="1"/>
    <col min="5" max="5" width="2.296875" style="297" customWidth="1"/>
    <col min="6" max="6" width="38.796875" style="297" customWidth="1"/>
    <col min="7" max="16384" width="12.59765625" style="297"/>
  </cols>
  <sheetData>
    <row r="1" spans="1:6">
      <c r="A1" s="296" t="s">
        <v>1075</v>
      </c>
      <c r="D1" s="298">
        <v>2016</v>
      </c>
    </row>
    <row r="3" spans="1:6">
      <c r="A3" s="296" t="s">
        <v>6197</v>
      </c>
      <c r="C3" s="296"/>
      <c r="D3" s="299">
        <f t="shared" ref="D3" si="0">D39</f>
        <v>74929</v>
      </c>
    </row>
    <row r="4" spans="1:6" ht="15" thickBot="1">
      <c r="A4" s="296" t="s">
        <v>6198</v>
      </c>
      <c r="C4" s="296"/>
      <c r="D4" s="300">
        <f t="shared" ref="D4" si="1">D68</f>
        <v>377715</v>
      </c>
    </row>
    <row r="5" spans="1:6" ht="15" thickBot="1">
      <c r="D5" s="300">
        <f t="shared" ref="D5" si="2">D3+D4</f>
        <v>452644</v>
      </c>
    </row>
    <row r="6" spans="1:6">
      <c r="D6" s="301"/>
    </row>
    <row r="7" spans="1:6">
      <c r="A7" s="296" t="s">
        <v>6199</v>
      </c>
      <c r="D7" s="302">
        <f t="shared" ref="D7" si="3">D133</f>
        <v>72967</v>
      </c>
      <c r="F7" s="296" t="s">
        <v>6024</v>
      </c>
    </row>
    <row r="8" spans="1:6">
      <c r="D8" s="301"/>
    </row>
    <row r="9" spans="1:6">
      <c r="A9" s="296" t="s">
        <v>6200</v>
      </c>
      <c r="D9" s="302">
        <f t="shared" ref="D9" si="4">D134</f>
        <v>64612</v>
      </c>
      <c r="F9" s="296" t="s">
        <v>6024</v>
      </c>
    </row>
    <row r="10" spans="1:6" ht="15" thickBot="1">
      <c r="A10" s="296"/>
      <c r="D10" s="300">
        <f>'TYNE &amp; WEAR'!D16</f>
        <v>8632</v>
      </c>
      <c r="F10" s="296" t="s">
        <v>6201</v>
      </c>
    </row>
    <row r="11" spans="1:6" ht="15" thickBot="1">
      <c r="A11" s="296"/>
      <c r="D11" s="300">
        <f t="shared" ref="D11" si="5">D9+D10</f>
        <v>73244</v>
      </c>
      <c r="F11" s="296"/>
    </row>
    <row r="12" spans="1:6">
      <c r="D12" s="301"/>
    </row>
    <row r="13" spans="1:6">
      <c r="A13" s="296" t="s">
        <v>6202</v>
      </c>
      <c r="D13" s="302">
        <f t="shared" ref="D13" si="6">D61</f>
        <v>74929</v>
      </c>
      <c r="F13" s="296" t="s">
        <v>6203</v>
      </c>
    </row>
    <row r="14" spans="1:6">
      <c r="D14" s="301"/>
    </row>
    <row r="15" spans="1:6">
      <c r="A15" s="296" t="s">
        <v>6204</v>
      </c>
      <c r="D15" s="302">
        <f t="shared" ref="D15" si="7">D135</f>
        <v>48748</v>
      </c>
      <c r="F15" s="296" t="s">
        <v>6024</v>
      </c>
    </row>
    <row r="16" spans="1:6" ht="15" thickBot="1">
      <c r="A16" s="296"/>
      <c r="D16" s="300">
        <f>'TYNE &amp; WEAR'!D24</f>
        <v>25346</v>
      </c>
      <c r="F16" s="296" t="s">
        <v>6201</v>
      </c>
    </row>
    <row r="17" spans="1:6" ht="15" thickBot="1">
      <c r="A17" s="296"/>
      <c r="D17" s="303">
        <f>D15+D16</f>
        <v>74094</v>
      </c>
      <c r="F17" s="296"/>
    </row>
    <row r="18" spans="1:6">
      <c r="A18" s="296"/>
      <c r="D18" s="302"/>
      <c r="F18" s="296"/>
    </row>
    <row r="19" spans="1:6">
      <c r="A19" s="288" t="s">
        <v>6023</v>
      </c>
      <c r="D19" s="302">
        <f>D136</f>
        <v>65732</v>
      </c>
      <c r="F19" s="296" t="s">
        <v>6024</v>
      </c>
    </row>
    <row r="20" spans="1:6" ht="15" thickBot="1">
      <c r="A20" s="296"/>
      <c r="D20" s="300">
        <f>'"CLEVELAND"'!D10</f>
        <v>12328</v>
      </c>
      <c r="F20" s="296" t="s">
        <v>6025</v>
      </c>
    </row>
    <row r="21" spans="1:6" ht="15" thickBot="1">
      <c r="A21" s="296"/>
      <c r="D21" s="303">
        <f>D19+D20</f>
        <v>78060</v>
      </c>
      <c r="F21" s="296"/>
    </row>
    <row r="22" spans="1:6">
      <c r="D22" s="301"/>
    </row>
    <row r="23" spans="1:6">
      <c r="A23" s="304" t="s">
        <v>6205</v>
      </c>
      <c r="D23" s="302">
        <f t="shared" ref="D23" si="8">D137</f>
        <v>64810</v>
      </c>
      <c r="F23" s="296" t="s">
        <v>6024</v>
      </c>
    </row>
    <row r="24" spans="1:6" ht="15" thickBot="1">
      <c r="A24" s="304"/>
      <c r="D24" s="300">
        <f>'TYNE &amp; WEAR'!D39</f>
        <v>6963</v>
      </c>
      <c r="F24" s="296" t="s">
        <v>6012</v>
      </c>
    </row>
    <row r="25" spans="1:6" ht="15" thickBot="1">
      <c r="A25" s="304"/>
      <c r="D25" s="303">
        <f>D23+D24</f>
        <v>71773</v>
      </c>
      <c r="F25" s="296"/>
    </row>
    <row r="26" spans="1:6">
      <c r="D26" s="301"/>
    </row>
    <row r="27" spans="1:6">
      <c r="A27" s="305" t="s">
        <v>6206</v>
      </c>
      <c r="D27" s="302">
        <f>D138</f>
        <v>60846</v>
      </c>
      <c r="F27" s="296" t="s">
        <v>6024</v>
      </c>
    </row>
    <row r="28" spans="1:6" ht="15" thickBot="1">
      <c r="D28" s="300">
        <f>'TYNE &amp; WEAR'!D55</f>
        <v>13656</v>
      </c>
      <c r="F28" s="297" t="s">
        <v>6207</v>
      </c>
    </row>
    <row r="29" spans="1:6" ht="15" thickBot="1">
      <c r="D29" s="300">
        <f t="shared" ref="D29" si="9">SUM(D27:D28)</f>
        <v>74502</v>
      </c>
    </row>
    <row r="30" spans="1:6">
      <c r="D30" s="299"/>
    </row>
    <row r="31" spans="1:6">
      <c r="A31" s="296" t="s">
        <v>1041</v>
      </c>
      <c r="D31" s="302">
        <f>D7+D9+D13+D15+D19+D23+D27</f>
        <v>452644</v>
      </c>
    </row>
    <row r="32" spans="1:6">
      <c r="D32" s="301"/>
    </row>
    <row r="33" spans="1:10">
      <c r="A33" s="296" t="s">
        <v>6208</v>
      </c>
    </row>
    <row r="34" spans="1:10">
      <c r="A34" s="296" t="s">
        <v>6209</v>
      </c>
    </row>
    <row r="35" spans="1:10">
      <c r="A35" s="296"/>
    </row>
    <row r="37" spans="1:10">
      <c r="D37" s="15" t="s">
        <v>285</v>
      </c>
      <c r="E37" s="16"/>
      <c r="F37" s="38" t="s">
        <v>4116</v>
      </c>
    </row>
    <row r="38" spans="1:10">
      <c r="D38" s="297">
        <v>2016</v>
      </c>
      <c r="E38" s="16"/>
      <c r="F38" s="18" t="s">
        <v>286</v>
      </c>
    </row>
    <row r="39" spans="1:10">
      <c r="A39" s="296" t="s">
        <v>6197</v>
      </c>
      <c r="C39" s="296"/>
      <c r="D39" s="302">
        <f>SUM(D40:D41)+SUM(D42:D53)+SUM(D54:D59)</f>
        <v>74929</v>
      </c>
    </row>
    <row r="40" spans="1:10">
      <c r="A40" s="22">
        <v>1</v>
      </c>
      <c r="B40" s="296" t="s">
        <v>6210</v>
      </c>
      <c r="C40" s="292" t="s">
        <v>6211</v>
      </c>
      <c r="D40" s="293">
        <v>4550</v>
      </c>
      <c r="F40" s="296" t="s">
        <v>6202</v>
      </c>
      <c r="H40" s="292"/>
      <c r="J40" s="292"/>
    </row>
    <row r="41" spans="1:10">
      <c r="A41" s="22">
        <v>2</v>
      </c>
      <c r="B41" s="296" t="s">
        <v>6212</v>
      </c>
      <c r="C41" s="292" t="s">
        <v>6213</v>
      </c>
      <c r="D41" s="293">
        <v>4553</v>
      </c>
      <c r="F41" s="296" t="s">
        <v>6202</v>
      </c>
      <c r="H41" s="292"/>
      <c r="J41" s="292"/>
    </row>
    <row r="42" spans="1:10">
      <c r="A42" s="22">
        <v>3</v>
      </c>
      <c r="B42" s="296" t="s">
        <v>6214</v>
      </c>
      <c r="C42" s="292" t="s">
        <v>6215</v>
      </c>
      <c r="D42" s="293">
        <v>4534</v>
      </c>
      <c r="F42" s="296" t="s">
        <v>6202</v>
      </c>
      <c r="H42" s="292"/>
      <c r="J42" s="292"/>
    </row>
    <row r="43" spans="1:10">
      <c r="A43" s="22">
        <v>4</v>
      </c>
      <c r="B43" s="296" t="s">
        <v>246</v>
      </c>
      <c r="C43" s="292" t="s">
        <v>6216</v>
      </c>
      <c r="D43" s="293">
        <v>3288</v>
      </c>
      <c r="F43" s="296" t="s">
        <v>6202</v>
      </c>
      <c r="H43" s="292"/>
      <c r="J43" s="292"/>
    </row>
    <row r="44" spans="1:10">
      <c r="A44" s="22">
        <v>5</v>
      </c>
      <c r="B44" s="296" t="s">
        <v>6217</v>
      </c>
      <c r="C44" s="292" t="s">
        <v>6218</v>
      </c>
      <c r="D44" s="293">
        <v>4571</v>
      </c>
      <c r="F44" s="296" t="s">
        <v>6202</v>
      </c>
      <c r="H44" s="292"/>
      <c r="J44" s="292"/>
    </row>
    <row r="45" spans="1:10">
      <c r="A45" s="22">
        <v>6</v>
      </c>
      <c r="B45" s="296" t="s">
        <v>6219</v>
      </c>
      <c r="C45" s="292" t="s">
        <v>6220</v>
      </c>
      <c r="D45" s="293">
        <v>4809</v>
      </c>
      <c r="F45" s="296" t="s">
        <v>6202</v>
      </c>
      <c r="H45" s="292"/>
      <c r="J45" s="292"/>
    </row>
    <row r="46" spans="1:10">
      <c r="A46" s="22">
        <v>7</v>
      </c>
      <c r="B46" s="296" t="s">
        <v>6221</v>
      </c>
      <c r="C46" s="292" t="s">
        <v>6222</v>
      </c>
      <c r="D46" s="293">
        <v>4733</v>
      </c>
      <c r="F46" s="296" t="s">
        <v>6202</v>
      </c>
      <c r="H46" s="292"/>
      <c r="J46" s="292"/>
    </row>
    <row r="47" spans="1:10">
      <c r="A47" s="22">
        <v>8</v>
      </c>
      <c r="B47" s="296" t="s">
        <v>6223</v>
      </c>
      <c r="C47" s="292" t="s">
        <v>6224</v>
      </c>
      <c r="D47" s="295">
        <v>3276</v>
      </c>
      <c r="F47" s="296" t="s">
        <v>6202</v>
      </c>
      <c r="H47" s="292"/>
      <c r="J47" s="292"/>
    </row>
    <row r="48" spans="1:10">
      <c r="A48" s="22">
        <v>9</v>
      </c>
      <c r="B48" s="296" t="s">
        <v>6225</v>
      </c>
      <c r="C48" s="292" t="s">
        <v>6226</v>
      </c>
      <c r="D48" s="293">
        <v>3168</v>
      </c>
      <c r="F48" s="296" t="s">
        <v>6202</v>
      </c>
      <c r="H48" s="292"/>
      <c r="J48" s="292"/>
    </row>
    <row r="49" spans="1:10">
      <c r="A49" s="22">
        <v>10</v>
      </c>
      <c r="B49" s="296" t="s">
        <v>6227</v>
      </c>
      <c r="C49" s="292" t="s">
        <v>6228</v>
      </c>
      <c r="D49" s="295">
        <v>2867</v>
      </c>
      <c r="F49" s="296" t="s">
        <v>6202</v>
      </c>
      <c r="H49" s="292"/>
      <c r="J49" s="292"/>
    </row>
    <row r="50" spans="1:10">
      <c r="A50" s="22">
        <v>11</v>
      </c>
      <c r="B50" s="296" t="s">
        <v>6229</v>
      </c>
      <c r="C50" s="292" t="s">
        <v>6230</v>
      </c>
      <c r="D50" s="293">
        <v>3102</v>
      </c>
      <c r="F50" s="296" t="s">
        <v>6202</v>
      </c>
      <c r="H50" s="292"/>
      <c r="J50" s="292"/>
    </row>
    <row r="51" spans="1:10">
      <c r="A51" s="22">
        <v>12</v>
      </c>
      <c r="B51" s="296" t="s">
        <v>6231</v>
      </c>
      <c r="C51" s="292" t="s">
        <v>6232</v>
      </c>
      <c r="D51" s="293">
        <v>4231</v>
      </c>
      <c r="F51" s="296" t="s">
        <v>6202</v>
      </c>
      <c r="H51" s="292"/>
      <c r="J51" s="292"/>
    </row>
    <row r="52" spans="1:10">
      <c r="A52" s="22">
        <v>13</v>
      </c>
      <c r="B52" s="296" t="s">
        <v>6233</v>
      </c>
      <c r="C52" s="292" t="s">
        <v>6234</v>
      </c>
      <c r="D52" s="293">
        <v>2453</v>
      </c>
      <c r="F52" s="296" t="s">
        <v>6202</v>
      </c>
      <c r="H52" s="292"/>
      <c r="J52" s="292"/>
    </row>
    <row r="53" spans="1:10">
      <c r="A53" s="22">
        <v>14</v>
      </c>
      <c r="B53" s="296" t="s">
        <v>6235</v>
      </c>
      <c r="C53" s="292" t="s">
        <v>6236</v>
      </c>
      <c r="D53" s="293">
        <v>4488</v>
      </c>
      <c r="F53" s="296" t="s">
        <v>6202</v>
      </c>
      <c r="H53" s="292"/>
      <c r="J53" s="292"/>
    </row>
    <row r="54" spans="1:10">
      <c r="A54" s="22">
        <v>15</v>
      </c>
      <c r="B54" s="296" t="s">
        <v>6237</v>
      </c>
      <c r="C54" s="292" t="s">
        <v>6238</v>
      </c>
      <c r="D54" s="293">
        <v>3282</v>
      </c>
      <c r="F54" s="296" t="s">
        <v>6202</v>
      </c>
      <c r="H54" s="292"/>
      <c r="J54" s="292"/>
    </row>
    <row r="55" spans="1:10">
      <c r="A55" s="22">
        <v>16</v>
      </c>
      <c r="B55" s="296" t="s">
        <v>6239</v>
      </c>
      <c r="C55" s="292" t="s">
        <v>6240</v>
      </c>
      <c r="D55" s="293">
        <v>4233</v>
      </c>
      <c r="F55" s="296" t="s">
        <v>6202</v>
      </c>
      <c r="H55" s="292"/>
      <c r="J55" s="292"/>
    </row>
    <row r="56" spans="1:10">
      <c r="A56" s="22">
        <v>17</v>
      </c>
      <c r="B56" s="296" t="s">
        <v>6241</v>
      </c>
      <c r="C56" s="292" t="s">
        <v>6242</v>
      </c>
      <c r="D56" s="293">
        <v>2548</v>
      </c>
      <c r="F56" s="296" t="s">
        <v>6202</v>
      </c>
      <c r="H56" s="292"/>
      <c r="J56" s="292"/>
    </row>
    <row r="57" spans="1:10">
      <c r="A57" s="22">
        <v>18</v>
      </c>
      <c r="B57" s="296" t="s">
        <v>6243</v>
      </c>
      <c r="C57" s="292" t="s">
        <v>6244</v>
      </c>
      <c r="D57" s="295">
        <v>4598</v>
      </c>
      <c r="F57" s="296" t="s">
        <v>6202</v>
      </c>
      <c r="H57" s="292"/>
      <c r="J57" s="292"/>
    </row>
    <row r="58" spans="1:10">
      <c r="A58" s="22">
        <v>19</v>
      </c>
      <c r="B58" s="296" t="s">
        <v>6245</v>
      </c>
      <c r="C58" s="292" t="s">
        <v>6246</v>
      </c>
      <c r="D58" s="295">
        <v>2474</v>
      </c>
      <c r="F58" s="296" t="s">
        <v>6202</v>
      </c>
      <c r="H58" s="292"/>
      <c r="J58" s="292"/>
    </row>
    <row r="59" spans="1:10">
      <c r="A59" s="22">
        <v>20</v>
      </c>
      <c r="B59" s="296" t="s">
        <v>6247</v>
      </c>
      <c r="C59" s="292" t="s">
        <v>6248</v>
      </c>
      <c r="D59" s="295">
        <v>3171</v>
      </c>
      <c r="F59" s="296" t="s">
        <v>6202</v>
      </c>
      <c r="H59" s="292"/>
      <c r="J59" s="292"/>
    </row>
    <row r="60" spans="1:10">
      <c r="D60" s="301"/>
    </row>
    <row r="61" spans="1:10">
      <c r="A61" s="296" t="s">
        <v>6202</v>
      </c>
      <c r="D61" s="302">
        <f>SUM(D40:D59)</f>
        <v>74929</v>
      </c>
    </row>
    <row r="63" spans="1:10">
      <c r="A63" s="296" t="s">
        <v>6249</v>
      </c>
    </row>
    <row r="64" spans="1:10">
      <c r="A64" s="296"/>
    </row>
    <row r="65" spans="1:10">
      <c r="A65" s="2"/>
      <c r="B65" s="2"/>
      <c r="D65" s="2"/>
      <c r="E65" s="2"/>
      <c r="F65" s="2"/>
    </row>
    <row r="66" spans="1:10">
      <c r="D66" s="15" t="s">
        <v>285</v>
      </c>
      <c r="E66" s="16"/>
      <c r="F66" s="38" t="s">
        <v>4116</v>
      </c>
    </row>
    <row r="67" spans="1:10">
      <c r="D67" s="297">
        <v>2016</v>
      </c>
      <c r="E67" s="16"/>
      <c r="F67" s="18" t="s">
        <v>286</v>
      </c>
    </row>
    <row r="68" spans="1:10">
      <c r="A68" s="296" t="s">
        <v>6250</v>
      </c>
      <c r="D68" s="302">
        <f>SUM(D69:D131)</f>
        <v>377715</v>
      </c>
    </row>
    <row r="69" spans="1:10">
      <c r="A69" s="22">
        <v>1</v>
      </c>
      <c r="B69" s="296" t="s">
        <v>6251</v>
      </c>
      <c r="C69" s="306" t="s">
        <v>6252</v>
      </c>
      <c r="D69" s="295">
        <v>5670</v>
      </c>
      <c r="F69" s="304" t="s">
        <v>6205</v>
      </c>
      <c r="G69" s="292"/>
      <c r="H69" s="306"/>
      <c r="I69" s="306"/>
      <c r="J69" s="306"/>
    </row>
    <row r="70" spans="1:10">
      <c r="A70" s="22">
        <v>2</v>
      </c>
      <c r="B70" s="296" t="s">
        <v>6253</v>
      </c>
      <c r="C70" s="306" t="s">
        <v>6254</v>
      </c>
      <c r="D70" s="295">
        <v>6240</v>
      </c>
      <c r="F70" s="288" t="s">
        <v>6023</v>
      </c>
      <c r="G70" s="292"/>
      <c r="H70" s="306"/>
      <c r="I70" s="306"/>
      <c r="J70" s="306"/>
    </row>
    <row r="71" spans="1:10">
      <c r="A71" s="22">
        <v>3</v>
      </c>
      <c r="B71" s="296" t="s">
        <v>6255</v>
      </c>
      <c r="C71" s="306" t="s">
        <v>6256</v>
      </c>
      <c r="D71" s="295">
        <v>7790</v>
      </c>
      <c r="F71" s="288" t="s">
        <v>6023</v>
      </c>
      <c r="G71" s="292"/>
      <c r="H71" s="306"/>
      <c r="I71" s="306"/>
      <c r="J71" s="306"/>
    </row>
    <row r="72" spans="1:10">
      <c r="A72" s="22">
        <v>4</v>
      </c>
      <c r="B72" s="296" t="s">
        <v>6257</v>
      </c>
      <c r="C72" s="306" t="s">
        <v>6258</v>
      </c>
      <c r="D72" s="295">
        <v>5403</v>
      </c>
      <c r="F72" s="288" t="s">
        <v>6023</v>
      </c>
      <c r="G72" s="292"/>
      <c r="H72" s="306"/>
      <c r="I72" s="306"/>
      <c r="J72" s="306"/>
    </row>
    <row r="73" spans="1:10">
      <c r="A73" s="22">
        <v>5</v>
      </c>
      <c r="B73" s="296" t="s">
        <v>6259</v>
      </c>
      <c r="C73" s="306" t="s">
        <v>6260</v>
      </c>
      <c r="D73" s="293">
        <v>6492</v>
      </c>
      <c r="F73" s="296" t="s">
        <v>6199</v>
      </c>
      <c r="G73" s="292"/>
      <c r="H73" s="306"/>
      <c r="I73" s="306"/>
      <c r="J73" s="306"/>
    </row>
    <row r="74" spans="1:10">
      <c r="A74" s="22">
        <v>6</v>
      </c>
      <c r="B74" s="296" t="s">
        <v>6261</v>
      </c>
      <c r="C74" s="306" t="s">
        <v>6262</v>
      </c>
      <c r="D74" s="293">
        <v>6319</v>
      </c>
      <c r="F74" s="305" t="s">
        <v>6206</v>
      </c>
      <c r="G74" s="292"/>
      <c r="H74" s="306"/>
      <c r="I74" s="306"/>
      <c r="J74" s="306"/>
    </row>
    <row r="75" spans="1:10">
      <c r="A75" s="22">
        <v>7</v>
      </c>
      <c r="B75" s="296" t="s">
        <v>5184</v>
      </c>
      <c r="C75" s="306" t="s">
        <v>6263</v>
      </c>
      <c r="D75" s="293">
        <v>10115</v>
      </c>
      <c r="F75" s="296" t="s">
        <v>6200</v>
      </c>
      <c r="G75" s="292"/>
      <c r="H75" s="306"/>
      <c r="I75" s="306"/>
      <c r="J75" s="306"/>
    </row>
    <row r="76" spans="1:10">
      <c r="A76" s="22">
        <v>8</v>
      </c>
      <c r="B76" s="296" t="s">
        <v>6264</v>
      </c>
      <c r="C76" s="306" t="s">
        <v>6265</v>
      </c>
      <c r="D76" s="295">
        <v>6180</v>
      </c>
      <c r="F76" s="305" t="s">
        <v>6206</v>
      </c>
      <c r="G76" s="292"/>
      <c r="H76" s="306"/>
      <c r="I76" s="306"/>
      <c r="J76" s="306"/>
    </row>
    <row r="77" spans="1:10">
      <c r="A77" s="22">
        <v>9</v>
      </c>
      <c r="B77" s="296" t="s">
        <v>6266</v>
      </c>
      <c r="C77" s="306" t="s">
        <v>6267</v>
      </c>
      <c r="D77" s="293">
        <v>5947</v>
      </c>
      <c r="F77" s="296" t="s">
        <v>6199</v>
      </c>
      <c r="G77" s="292"/>
      <c r="H77" s="306"/>
      <c r="I77" s="306"/>
      <c r="J77" s="306"/>
    </row>
    <row r="78" spans="1:10">
      <c r="A78" s="22">
        <v>10</v>
      </c>
      <c r="B78" s="296" t="s">
        <v>6268</v>
      </c>
      <c r="C78" s="306" t="s">
        <v>6269</v>
      </c>
      <c r="D78" s="295">
        <v>2937</v>
      </c>
      <c r="F78" s="288" t="s">
        <v>6023</v>
      </c>
      <c r="G78" s="292"/>
      <c r="H78" s="306"/>
      <c r="I78" s="306"/>
      <c r="J78" s="306"/>
    </row>
    <row r="79" spans="1:10">
      <c r="A79" s="22">
        <v>11</v>
      </c>
      <c r="B79" s="296" t="s">
        <v>6270</v>
      </c>
      <c r="C79" s="306" t="s">
        <v>6271</v>
      </c>
      <c r="D79" s="295">
        <v>6101</v>
      </c>
      <c r="F79" s="288" t="s">
        <v>6023</v>
      </c>
      <c r="H79" s="306"/>
      <c r="I79" s="306"/>
      <c r="J79" s="306"/>
    </row>
    <row r="80" spans="1:10">
      <c r="A80" s="22">
        <v>12</v>
      </c>
      <c r="B80" s="296" t="s">
        <v>6272</v>
      </c>
      <c r="C80" s="306" t="s">
        <v>6273</v>
      </c>
      <c r="D80" s="293">
        <v>7146</v>
      </c>
      <c r="F80" s="296" t="s">
        <v>6200</v>
      </c>
      <c r="G80" s="292"/>
      <c r="H80" s="306"/>
      <c r="I80" s="306"/>
      <c r="J80" s="306"/>
    </row>
    <row r="81" spans="1:10">
      <c r="A81" s="22">
        <v>13</v>
      </c>
      <c r="B81" s="296" t="s">
        <v>6274</v>
      </c>
      <c r="C81" s="306" t="s">
        <v>6275</v>
      </c>
      <c r="D81" s="295">
        <v>5962</v>
      </c>
      <c r="F81" s="305" t="s">
        <v>6206</v>
      </c>
      <c r="G81" s="292"/>
      <c r="H81" s="306"/>
      <c r="I81" s="306"/>
      <c r="J81" s="306"/>
    </row>
    <row r="82" spans="1:10">
      <c r="A82" s="22">
        <v>14</v>
      </c>
      <c r="B82" s="296" t="s">
        <v>6276</v>
      </c>
      <c r="C82" s="306" t="s">
        <v>6277</v>
      </c>
      <c r="D82" s="295">
        <v>2919</v>
      </c>
      <c r="F82" s="304" t="s">
        <v>6205</v>
      </c>
      <c r="G82" s="292"/>
      <c r="H82" s="306"/>
      <c r="I82" s="306"/>
      <c r="J82" s="306"/>
    </row>
    <row r="83" spans="1:10">
      <c r="A83" s="22">
        <v>15</v>
      </c>
      <c r="B83" s="296" t="s">
        <v>6278</v>
      </c>
      <c r="C83" s="306" t="s">
        <v>6279</v>
      </c>
      <c r="D83" s="295">
        <v>2999</v>
      </c>
      <c r="F83" s="304" t="s">
        <v>6205</v>
      </c>
      <c r="G83" s="292"/>
      <c r="H83" s="306"/>
      <c r="I83" s="306"/>
      <c r="J83" s="306"/>
    </row>
    <row r="84" spans="1:10">
      <c r="A84" s="22">
        <v>16</v>
      </c>
      <c r="B84" s="296" t="s">
        <v>6280</v>
      </c>
      <c r="C84" s="306" t="s">
        <v>6281</v>
      </c>
      <c r="D84" s="295">
        <v>5937</v>
      </c>
      <c r="F84" s="304" t="s">
        <v>6205</v>
      </c>
      <c r="G84" s="292"/>
      <c r="H84" s="306"/>
      <c r="I84" s="306"/>
      <c r="J84" s="306"/>
    </row>
    <row r="85" spans="1:10">
      <c r="A85" s="22">
        <v>17</v>
      </c>
      <c r="B85" s="296" t="s">
        <v>6282</v>
      </c>
      <c r="C85" s="306" t="s">
        <v>6283</v>
      </c>
      <c r="D85" s="295">
        <v>5825</v>
      </c>
      <c r="F85" s="304" t="s">
        <v>6205</v>
      </c>
      <c r="H85" s="306"/>
      <c r="I85" s="306"/>
      <c r="J85" s="306"/>
    </row>
    <row r="86" spans="1:10">
      <c r="A86" s="22">
        <v>18</v>
      </c>
      <c r="B86" s="296" t="s">
        <v>6284</v>
      </c>
      <c r="C86" s="306" t="s">
        <v>6285</v>
      </c>
      <c r="D86" s="295">
        <v>2970</v>
      </c>
      <c r="F86" s="288" t="s">
        <v>6023</v>
      </c>
      <c r="H86" s="306"/>
      <c r="I86" s="306"/>
      <c r="J86" s="306"/>
    </row>
    <row r="87" spans="1:10">
      <c r="A87" s="22">
        <v>19</v>
      </c>
      <c r="B87" s="296" t="s">
        <v>6286</v>
      </c>
      <c r="C87" s="306" t="s">
        <v>6287</v>
      </c>
      <c r="D87" s="295">
        <v>5761</v>
      </c>
      <c r="F87" s="305" t="s">
        <v>6206</v>
      </c>
      <c r="G87" s="292"/>
      <c r="H87" s="306"/>
      <c r="I87" s="306"/>
      <c r="J87" s="306"/>
    </row>
    <row r="88" spans="1:10">
      <c r="A88" s="22">
        <v>20</v>
      </c>
      <c r="B88" s="296" t="s">
        <v>6288</v>
      </c>
      <c r="C88" s="306" t="s">
        <v>6289</v>
      </c>
      <c r="D88" s="295">
        <v>2886</v>
      </c>
      <c r="F88" s="305" t="s">
        <v>6206</v>
      </c>
      <c r="G88" s="292"/>
      <c r="H88" s="306"/>
      <c r="I88" s="306"/>
      <c r="J88" s="306"/>
    </row>
    <row r="89" spans="1:10">
      <c r="A89" s="22">
        <v>21</v>
      </c>
      <c r="B89" s="296" t="s">
        <v>6290</v>
      </c>
      <c r="C89" s="306" t="s">
        <v>6291</v>
      </c>
      <c r="D89" s="293">
        <v>3010</v>
      </c>
      <c r="F89" s="296" t="s">
        <v>6199</v>
      </c>
      <c r="G89" s="292"/>
      <c r="H89" s="306"/>
      <c r="I89" s="306"/>
      <c r="J89" s="306"/>
    </row>
    <row r="90" spans="1:10">
      <c r="A90" s="22">
        <v>22</v>
      </c>
      <c r="B90" s="296" t="s">
        <v>6292</v>
      </c>
      <c r="C90" s="306" t="s">
        <v>6293</v>
      </c>
      <c r="D90" s="293">
        <v>9280</v>
      </c>
      <c r="F90" s="288" t="s">
        <v>6023</v>
      </c>
      <c r="G90" s="292"/>
      <c r="H90" s="306"/>
      <c r="I90" s="306"/>
      <c r="J90" s="306"/>
    </row>
    <row r="91" spans="1:10">
      <c r="A91" s="22">
        <v>23</v>
      </c>
      <c r="B91" s="296" t="s">
        <v>6294</v>
      </c>
      <c r="C91" s="306" t="s">
        <v>6295</v>
      </c>
      <c r="D91" s="295">
        <v>5177</v>
      </c>
      <c r="F91" s="304" t="s">
        <v>6205</v>
      </c>
      <c r="G91" s="292"/>
      <c r="H91" s="306"/>
      <c r="I91" s="306"/>
      <c r="J91" s="306"/>
    </row>
    <row r="92" spans="1:10">
      <c r="A92" s="22">
        <v>24</v>
      </c>
      <c r="B92" s="296" t="s">
        <v>6296</v>
      </c>
      <c r="C92" s="306" t="s">
        <v>6297</v>
      </c>
      <c r="D92" s="295">
        <v>8995</v>
      </c>
      <c r="F92" s="305" t="s">
        <v>6206</v>
      </c>
      <c r="G92" s="292"/>
      <c r="H92" s="306"/>
      <c r="I92" s="306"/>
      <c r="J92" s="306"/>
    </row>
    <row r="93" spans="1:10">
      <c r="A93" s="22">
        <v>25</v>
      </c>
      <c r="B93" s="296" t="s">
        <v>6298</v>
      </c>
      <c r="C93" s="306" t="s">
        <v>6299</v>
      </c>
      <c r="D93" s="295">
        <v>5868</v>
      </c>
      <c r="F93" s="296" t="s">
        <v>6204</v>
      </c>
      <c r="G93" s="292"/>
    </row>
    <row r="94" spans="1:10">
      <c r="A94" s="22">
        <v>26</v>
      </c>
      <c r="B94" s="296" t="s">
        <v>6300</v>
      </c>
      <c r="C94" s="306" t="s">
        <v>6301</v>
      </c>
      <c r="D94" s="293">
        <v>9018</v>
      </c>
      <c r="F94" s="296" t="s">
        <v>6200</v>
      </c>
      <c r="G94" s="292"/>
    </row>
    <row r="95" spans="1:10">
      <c r="A95" s="22">
        <v>27</v>
      </c>
      <c r="B95" s="296" t="s">
        <v>6302</v>
      </c>
      <c r="C95" s="306" t="s">
        <v>6303</v>
      </c>
      <c r="D95" s="295">
        <v>6026</v>
      </c>
      <c r="F95" s="305" t="s">
        <v>6206</v>
      </c>
      <c r="G95" s="292"/>
      <c r="H95" s="306"/>
      <c r="I95" s="306"/>
      <c r="J95" s="306"/>
    </row>
    <row r="96" spans="1:10">
      <c r="A96" s="22">
        <v>28</v>
      </c>
      <c r="B96" s="296" t="s">
        <v>6304</v>
      </c>
      <c r="C96" s="306" t="s">
        <v>6305</v>
      </c>
      <c r="D96" s="295">
        <v>5280</v>
      </c>
      <c r="F96" s="296" t="s">
        <v>6204</v>
      </c>
      <c r="G96" s="292"/>
      <c r="H96" s="306"/>
      <c r="I96" s="306"/>
      <c r="J96" s="306"/>
    </row>
    <row r="97" spans="1:10">
      <c r="A97" s="22">
        <v>29</v>
      </c>
      <c r="B97" s="296" t="s">
        <v>6306</v>
      </c>
      <c r="C97" s="306" t="s">
        <v>6307</v>
      </c>
      <c r="D97" s="295">
        <v>1619</v>
      </c>
      <c r="F97" s="296" t="s">
        <v>6200</v>
      </c>
      <c r="G97" s="292"/>
      <c r="H97" s="306"/>
      <c r="I97" s="306"/>
      <c r="J97" s="306"/>
    </row>
    <row r="98" spans="1:10">
      <c r="A98" s="22">
        <v>30</v>
      </c>
      <c r="B98" s="296" t="s">
        <v>6308</v>
      </c>
      <c r="C98" s="306" t="s">
        <v>6309</v>
      </c>
      <c r="D98" s="295">
        <v>5559</v>
      </c>
      <c r="F98" s="296" t="s">
        <v>6204</v>
      </c>
      <c r="G98" s="292"/>
      <c r="H98" s="306"/>
      <c r="I98" s="306"/>
      <c r="J98" s="306"/>
    </row>
    <row r="99" spans="1:10">
      <c r="A99" s="22">
        <v>31</v>
      </c>
      <c r="B99" s="296" t="s">
        <v>6310</v>
      </c>
      <c r="C99" s="306" t="s">
        <v>6311</v>
      </c>
      <c r="D99" s="295">
        <v>4081</v>
      </c>
      <c r="F99" s="296" t="s">
        <v>6200</v>
      </c>
      <c r="G99" s="292"/>
      <c r="H99" s="306"/>
      <c r="I99" s="306"/>
      <c r="J99" s="306"/>
    </row>
    <row r="100" spans="1:10">
      <c r="A100" s="22">
        <v>32</v>
      </c>
      <c r="B100" s="296" t="s">
        <v>6312</v>
      </c>
      <c r="C100" s="306" t="s">
        <v>6313</v>
      </c>
      <c r="D100" s="295">
        <v>6192</v>
      </c>
      <c r="F100" s="296" t="s">
        <v>6200</v>
      </c>
      <c r="G100" s="292"/>
      <c r="H100" s="306"/>
      <c r="I100" s="306"/>
      <c r="J100" s="306"/>
    </row>
    <row r="101" spans="1:10">
      <c r="A101" s="22">
        <v>33</v>
      </c>
      <c r="B101" s="296" t="s">
        <v>6314</v>
      </c>
      <c r="C101" s="306" t="s">
        <v>6315</v>
      </c>
      <c r="D101" s="293">
        <v>6231</v>
      </c>
      <c r="F101" s="296" t="s">
        <v>6199</v>
      </c>
      <c r="G101" s="292"/>
    </row>
    <row r="102" spans="1:10">
      <c r="A102" s="22">
        <v>34</v>
      </c>
      <c r="B102" s="296" t="s">
        <v>6316</v>
      </c>
      <c r="C102" s="306" t="s">
        <v>6317</v>
      </c>
      <c r="D102" s="293">
        <v>8151</v>
      </c>
      <c r="F102" s="296" t="s">
        <v>6199</v>
      </c>
      <c r="G102" s="292"/>
    </row>
    <row r="103" spans="1:10">
      <c r="A103" s="22">
        <v>35</v>
      </c>
      <c r="B103" s="296" t="s">
        <v>6318</v>
      </c>
      <c r="C103" s="306" t="s">
        <v>6319</v>
      </c>
      <c r="D103" s="295">
        <v>10175</v>
      </c>
      <c r="F103" s="296" t="s">
        <v>6200</v>
      </c>
      <c r="G103" s="292"/>
      <c r="H103" s="306"/>
      <c r="I103" s="306"/>
      <c r="J103" s="306"/>
    </row>
    <row r="104" spans="1:10">
      <c r="A104" s="22">
        <v>36</v>
      </c>
      <c r="B104" s="296" t="s">
        <v>6320</v>
      </c>
      <c r="C104" s="306" t="s">
        <v>6321</v>
      </c>
      <c r="D104" s="295">
        <v>5809</v>
      </c>
      <c r="F104" s="296" t="s">
        <v>6204</v>
      </c>
      <c r="G104" s="292"/>
      <c r="H104" s="306"/>
      <c r="I104" s="306"/>
      <c r="J104" s="306"/>
    </row>
    <row r="105" spans="1:10">
      <c r="A105" s="22">
        <v>37</v>
      </c>
      <c r="B105" s="296" t="s">
        <v>6322</v>
      </c>
      <c r="C105" s="306" t="s">
        <v>6323</v>
      </c>
      <c r="D105" s="295">
        <v>5871</v>
      </c>
      <c r="F105" s="305" t="s">
        <v>6206</v>
      </c>
      <c r="G105" s="292"/>
      <c r="H105" s="306"/>
      <c r="I105" s="306"/>
      <c r="J105" s="306"/>
    </row>
    <row r="106" spans="1:10">
      <c r="A106" s="22">
        <v>38</v>
      </c>
      <c r="B106" s="296" t="s">
        <v>6324</v>
      </c>
      <c r="C106" s="306" t="s">
        <v>6325</v>
      </c>
      <c r="D106" s="295">
        <v>6440</v>
      </c>
      <c r="F106" s="305" t="s">
        <v>6206</v>
      </c>
      <c r="G106" s="292"/>
      <c r="H106" s="306"/>
      <c r="I106" s="306"/>
      <c r="J106" s="306"/>
    </row>
    <row r="107" spans="1:10">
      <c r="A107" s="22">
        <v>39</v>
      </c>
      <c r="B107" s="296" t="s">
        <v>6326</v>
      </c>
      <c r="C107" s="306" t="s">
        <v>6327</v>
      </c>
      <c r="D107" s="295">
        <v>5527</v>
      </c>
      <c r="F107" s="304" t="s">
        <v>6205</v>
      </c>
      <c r="G107" s="292"/>
      <c r="H107" s="306"/>
      <c r="I107" s="306"/>
      <c r="J107" s="306"/>
    </row>
    <row r="108" spans="1:10">
      <c r="A108" s="22">
        <v>40</v>
      </c>
      <c r="B108" s="296" t="s">
        <v>6328</v>
      </c>
      <c r="C108" s="306" t="s">
        <v>6329</v>
      </c>
      <c r="D108" s="295">
        <v>5820</v>
      </c>
      <c r="F108" s="296" t="s">
        <v>6204</v>
      </c>
      <c r="G108" s="292"/>
      <c r="H108" s="306"/>
      <c r="I108" s="306"/>
      <c r="J108" s="306"/>
    </row>
    <row r="109" spans="1:10">
      <c r="A109" s="22">
        <v>41</v>
      </c>
      <c r="B109" s="296" t="s">
        <v>6330</v>
      </c>
      <c r="C109" s="306" t="s">
        <v>6331</v>
      </c>
      <c r="D109" s="295">
        <v>6502</v>
      </c>
      <c r="F109" s="296" t="s">
        <v>6200</v>
      </c>
      <c r="G109" s="292"/>
      <c r="H109" s="306"/>
      <c r="I109" s="306"/>
      <c r="J109" s="306"/>
    </row>
    <row r="110" spans="1:10">
      <c r="A110" s="22">
        <v>42</v>
      </c>
      <c r="B110" s="297" t="s">
        <v>6332</v>
      </c>
      <c r="C110" s="306" t="s">
        <v>6333</v>
      </c>
      <c r="D110" s="295">
        <v>2828</v>
      </c>
      <c r="F110" s="304" t="s">
        <v>6205</v>
      </c>
      <c r="G110" s="292"/>
      <c r="H110" s="306"/>
      <c r="I110" s="306"/>
      <c r="J110" s="306"/>
    </row>
    <row r="111" spans="1:10">
      <c r="A111" s="22">
        <v>43</v>
      </c>
      <c r="B111" s="296" t="s">
        <v>6334</v>
      </c>
      <c r="C111" s="306" t="s">
        <v>6335</v>
      </c>
      <c r="D111" s="295">
        <v>3539</v>
      </c>
      <c r="F111" s="296" t="s">
        <v>6204</v>
      </c>
      <c r="G111" s="292"/>
      <c r="H111" s="306"/>
      <c r="I111" s="306"/>
      <c r="J111" s="306"/>
    </row>
    <row r="112" spans="1:10">
      <c r="A112" s="22">
        <v>44</v>
      </c>
      <c r="B112" s="296" t="s">
        <v>6336</v>
      </c>
      <c r="C112" s="306" t="s">
        <v>6337</v>
      </c>
      <c r="D112" s="295">
        <v>9889</v>
      </c>
      <c r="F112" s="304" t="s">
        <v>6205</v>
      </c>
      <c r="G112" s="292"/>
      <c r="H112" s="306"/>
      <c r="I112" s="306"/>
      <c r="J112" s="306"/>
    </row>
    <row r="113" spans="1:10">
      <c r="A113" s="22">
        <v>45</v>
      </c>
      <c r="B113" s="296" t="s">
        <v>6338</v>
      </c>
      <c r="C113" s="306" t="s">
        <v>6339</v>
      </c>
      <c r="D113" s="295">
        <v>5484</v>
      </c>
      <c r="F113" s="296" t="s">
        <v>6204</v>
      </c>
      <c r="G113" s="292"/>
      <c r="H113" s="306"/>
      <c r="I113" s="306"/>
      <c r="J113" s="306"/>
    </row>
    <row r="114" spans="1:10">
      <c r="A114" s="22">
        <v>46</v>
      </c>
      <c r="B114" s="296" t="s">
        <v>6340</v>
      </c>
      <c r="C114" s="306" t="s">
        <v>6341</v>
      </c>
      <c r="D114" s="295">
        <v>6119</v>
      </c>
      <c r="F114" s="296" t="s">
        <v>6204</v>
      </c>
      <c r="G114" s="292"/>
      <c r="H114" s="306"/>
      <c r="I114" s="306"/>
      <c r="J114" s="306"/>
    </row>
    <row r="115" spans="1:10">
      <c r="A115" s="22">
        <v>47</v>
      </c>
      <c r="B115" s="296" t="s">
        <v>6342</v>
      </c>
      <c r="C115" s="306" t="s">
        <v>6343</v>
      </c>
      <c r="D115" s="295">
        <v>5357</v>
      </c>
      <c r="F115" s="304" t="s">
        <v>6205</v>
      </c>
      <c r="H115" s="306"/>
      <c r="I115" s="306"/>
      <c r="J115" s="306"/>
    </row>
    <row r="116" spans="1:10">
      <c r="A116" s="22">
        <v>48</v>
      </c>
      <c r="B116" s="296" t="s">
        <v>6344</v>
      </c>
      <c r="C116" s="306" t="s">
        <v>6345</v>
      </c>
      <c r="D116" s="295">
        <v>5270</v>
      </c>
      <c r="F116" s="296" t="s">
        <v>6204</v>
      </c>
      <c r="H116" s="306"/>
      <c r="I116" s="306"/>
      <c r="J116" s="306"/>
    </row>
    <row r="117" spans="1:10">
      <c r="A117" s="22">
        <v>49</v>
      </c>
      <c r="B117" s="296" t="s">
        <v>6346</v>
      </c>
      <c r="C117" s="306" t="s">
        <v>6347</v>
      </c>
      <c r="D117" s="295">
        <v>6274</v>
      </c>
      <c r="F117" s="288" t="s">
        <v>6023</v>
      </c>
      <c r="G117" s="292"/>
      <c r="H117" s="306"/>
      <c r="I117" s="306"/>
      <c r="J117" s="306"/>
    </row>
    <row r="118" spans="1:10">
      <c r="A118" s="22">
        <v>50</v>
      </c>
      <c r="B118" s="296" t="s">
        <v>6348</v>
      </c>
      <c r="C118" s="306" t="s">
        <v>6349</v>
      </c>
      <c r="D118" s="295">
        <v>6531</v>
      </c>
      <c r="F118" s="296" t="s">
        <v>6200</v>
      </c>
      <c r="G118" s="292"/>
      <c r="H118" s="306"/>
      <c r="I118" s="306"/>
      <c r="J118" s="306"/>
    </row>
    <row r="119" spans="1:10">
      <c r="A119" s="22">
        <v>51</v>
      </c>
      <c r="B119" s="296" t="s">
        <v>6350</v>
      </c>
      <c r="C119" s="306" t="s">
        <v>6351</v>
      </c>
      <c r="D119" s="293">
        <v>9384</v>
      </c>
      <c r="F119" s="296" t="s">
        <v>6199</v>
      </c>
      <c r="G119" s="292"/>
      <c r="H119" s="306"/>
      <c r="I119" s="306"/>
      <c r="J119" s="306"/>
    </row>
    <row r="120" spans="1:10">
      <c r="A120" s="22">
        <v>52</v>
      </c>
      <c r="B120" s="296" t="s">
        <v>6352</v>
      </c>
      <c r="C120" s="306" t="s">
        <v>6353</v>
      </c>
      <c r="D120" s="295">
        <v>6413</v>
      </c>
      <c r="F120" s="288" t="s">
        <v>6023</v>
      </c>
      <c r="G120" s="292"/>
      <c r="H120" s="306"/>
      <c r="I120" s="306"/>
      <c r="J120" s="306"/>
    </row>
    <row r="121" spans="1:10">
      <c r="A121" s="22">
        <v>53</v>
      </c>
      <c r="B121" s="296" t="s">
        <v>6354</v>
      </c>
      <c r="C121" s="306" t="s">
        <v>6355</v>
      </c>
      <c r="D121" s="293">
        <v>8444</v>
      </c>
      <c r="F121" s="296" t="s">
        <v>6199</v>
      </c>
      <c r="G121" s="292"/>
      <c r="H121" s="306"/>
      <c r="I121" s="306"/>
      <c r="J121" s="306"/>
    </row>
    <row r="122" spans="1:10">
      <c r="A122" s="22">
        <v>54</v>
      </c>
      <c r="B122" s="296" t="s">
        <v>6356</v>
      </c>
      <c r="C122" s="306" t="s">
        <v>6357</v>
      </c>
      <c r="D122" s="295">
        <v>6187</v>
      </c>
      <c r="F122" s="304" t="s">
        <v>6205</v>
      </c>
      <c r="G122" s="292"/>
      <c r="H122" s="306"/>
      <c r="I122" s="306"/>
      <c r="J122" s="306"/>
    </row>
    <row r="123" spans="1:10">
      <c r="A123" s="22">
        <v>55</v>
      </c>
      <c r="B123" s="296" t="s">
        <v>6358</v>
      </c>
      <c r="C123" s="306" t="s">
        <v>6359</v>
      </c>
      <c r="D123" s="295">
        <v>6495</v>
      </c>
      <c r="F123" s="304" t="s">
        <v>6205</v>
      </c>
      <c r="G123" s="292"/>
      <c r="H123" s="306"/>
      <c r="I123" s="306"/>
      <c r="J123" s="306"/>
    </row>
    <row r="124" spans="1:10">
      <c r="A124" s="22">
        <v>56</v>
      </c>
      <c r="B124" s="296" t="s">
        <v>6360</v>
      </c>
      <c r="C124" s="306" t="s">
        <v>6361</v>
      </c>
      <c r="D124" s="295">
        <v>3233</v>
      </c>
      <c r="F124" s="296" t="s">
        <v>6200</v>
      </c>
      <c r="G124" s="292"/>
      <c r="H124" s="306"/>
      <c r="I124" s="306"/>
      <c r="J124" s="306"/>
    </row>
    <row r="125" spans="1:10">
      <c r="A125" s="22">
        <v>57</v>
      </c>
      <c r="B125" s="296" t="s">
        <v>6362</v>
      </c>
      <c r="C125" s="306" t="s">
        <v>6363</v>
      </c>
      <c r="D125" s="295">
        <v>9411</v>
      </c>
      <c r="F125" s="288" t="s">
        <v>6023</v>
      </c>
      <c r="G125" s="292"/>
      <c r="H125" s="306"/>
      <c r="I125" s="306"/>
      <c r="J125" s="306"/>
    </row>
    <row r="126" spans="1:10">
      <c r="A126" s="22">
        <v>58</v>
      </c>
      <c r="B126" s="296" t="s">
        <v>6364</v>
      </c>
      <c r="C126" s="306" t="s">
        <v>6365</v>
      </c>
      <c r="D126" s="293">
        <v>6079</v>
      </c>
      <c r="F126" s="296" t="s">
        <v>6199</v>
      </c>
      <c r="G126" s="292"/>
      <c r="H126" s="306"/>
      <c r="I126" s="306"/>
      <c r="J126" s="306"/>
    </row>
    <row r="127" spans="1:10">
      <c r="A127" s="22">
        <v>59</v>
      </c>
      <c r="B127" s="296" t="s">
        <v>6366</v>
      </c>
      <c r="C127" s="306" t="s">
        <v>6367</v>
      </c>
      <c r="D127" s="295">
        <v>6406</v>
      </c>
      <c r="F127" s="305" t="s">
        <v>6206</v>
      </c>
      <c r="G127" s="292"/>
      <c r="H127" s="306"/>
      <c r="I127" s="306"/>
      <c r="J127" s="306"/>
    </row>
    <row r="128" spans="1:10">
      <c r="A128" s="22">
        <v>60</v>
      </c>
      <c r="B128" s="296" t="s">
        <v>6368</v>
      </c>
      <c r="C128" s="306" t="s">
        <v>6369</v>
      </c>
      <c r="D128" s="293">
        <v>6375</v>
      </c>
      <c r="F128" s="296" t="s">
        <v>6199</v>
      </c>
      <c r="G128" s="292"/>
      <c r="H128" s="306"/>
      <c r="I128" s="306"/>
      <c r="J128" s="306"/>
    </row>
    <row r="129" spans="1:10">
      <c r="A129" s="22">
        <v>61</v>
      </c>
      <c r="B129" s="296" t="s">
        <v>6370</v>
      </c>
      <c r="C129" s="306" t="s">
        <v>6371</v>
      </c>
      <c r="D129" s="295">
        <v>6822</v>
      </c>
      <c r="F129" s="296" t="s">
        <v>6199</v>
      </c>
      <c r="G129" s="292"/>
      <c r="H129" s="306"/>
      <c r="I129" s="306"/>
      <c r="J129" s="306"/>
    </row>
    <row r="130" spans="1:10">
      <c r="A130" s="22">
        <v>62</v>
      </c>
      <c r="B130" s="296" t="s">
        <v>6372</v>
      </c>
      <c r="C130" s="306" t="s">
        <v>6373</v>
      </c>
      <c r="D130" s="295">
        <v>2913</v>
      </c>
      <c r="F130" s="288" t="s">
        <v>6023</v>
      </c>
      <c r="G130" s="292"/>
      <c r="I130" s="292"/>
    </row>
    <row r="131" spans="1:10">
      <c r="A131" s="22">
        <v>63</v>
      </c>
      <c r="B131" s="296" t="s">
        <v>6374</v>
      </c>
      <c r="C131" s="306" t="s">
        <v>6375</v>
      </c>
      <c r="D131" s="293">
        <v>6032</v>
      </c>
      <c r="F131" s="296" t="s">
        <v>6199</v>
      </c>
      <c r="G131" s="292"/>
      <c r="I131" s="292"/>
    </row>
    <row r="133" spans="1:10">
      <c r="A133" s="296" t="s">
        <v>6199</v>
      </c>
      <c r="D133" s="302">
        <f>D73+D77+D89+D101+D102+D119+D121+D126+D128+D129+D131</f>
        <v>72967</v>
      </c>
    </row>
    <row r="134" spans="1:10">
      <c r="A134" s="296" t="s">
        <v>6376</v>
      </c>
      <c r="D134" s="302">
        <f>D75+D80+D94+D97+D99+D100+D103+D109+D118+D124</f>
        <v>64612</v>
      </c>
    </row>
    <row r="135" spans="1:10">
      <c r="A135" s="296" t="s">
        <v>6377</v>
      </c>
      <c r="D135" s="302">
        <f>D93+D96+D98+D104+D108+D111+D113+D114+D116</f>
        <v>48748</v>
      </c>
    </row>
    <row r="136" spans="1:10">
      <c r="A136" s="288" t="s">
        <v>6054</v>
      </c>
      <c r="D136" s="302">
        <f>SUM(D70:D72)+D78+D79+D86+D90+D117+D120+D125+D130</f>
        <v>65732</v>
      </c>
    </row>
    <row r="137" spans="1:10">
      <c r="A137" s="304" t="s">
        <v>6378</v>
      </c>
      <c r="D137" s="302">
        <f>D69+SUM(D82:D85)+D91+D107+D110+D112+D115+D122+D123</f>
        <v>64810</v>
      </c>
    </row>
    <row r="138" spans="1:10">
      <c r="A138" s="305" t="s">
        <v>6379</v>
      </c>
      <c r="D138" s="302">
        <f>D74+D76+D81+D87+D88+D92+D95+D105+D106+D127</f>
        <v>60846</v>
      </c>
    </row>
    <row r="139" spans="1:10">
      <c r="D139" s="302"/>
    </row>
    <row r="140" spans="1:10">
      <c r="A140" s="297" t="s">
        <v>6380</v>
      </c>
    </row>
  </sheetData>
  <printOptions gridLinesSet="0"/>
  <pageMargins left="0.78740157480314965" right="0" top="0.51181102362204722" bottom="0.51181102362204722" header="0.51181102362204722" footer="0.51181102362204722"/>
  <pageSetup paperSize="9" scale="88" orientation="portrait" horizontalDpi="300" verticalDpi="300" r:id="rId1"/>
  <headerFooter alignWithMargins="0">
    <oddFooter>&amp;C&amp;"Times New Roman,Regular"&amp;8&amp;P of &amp;N</oddFooter>
  </headerFooter>
  <rowBreaks count="2" manualBreakCount="2">
    <brk id="35" max="16383" man="1"/>
    <brk id="6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89"/>
  <sheetViews>
    <sheetView showGridLines="0" zoomScaleNormal="100" workbookViewId="0"/>
  </sheetViews>
  <sheetFormatPr defaultColWidth="12.59765625" defaultRowHeight="14.5"/>
  <cols>
    <col min="1" max="1" width="4.8984375" style="472" customWidth="1"/>
    <col min="2" max="2" width="36" style="472" customWidth="1"/>
    <col min="3" max="3" width="11.69921875" style="472" customWidth="1"/>
    <col min="4" max="4" width="10" style="472" customWidth="1"/>
    <col min="5" max="5" width="2.296875" style="472" customWidth="1"/>
    <col min="6" max="6" width="36.8984375" style="472" customWidth="1"/>
    <col min="7" max="16384" width="12.59765625" style="472"/>
  </cols>
  <sheetData>
    <row r="1" spans="1:6">
      <c r="A1" s="471" t="s">
        <v>9176</v>
      </c>
      <c r="D1" s="473">
        <v>2016</v>
      </c>
    </row>
    <row r="3" spans="1:6">
      <c r="A3" s="471" t="s">
        <v>9550</v>
      </c>
      <c r="D3" s="474">
        <f t="shared" ref="D3" si="0">SUM(D25:D47)</f>
        <v>208976</v>
      </c>
    </row>
    <row r="5" spans="1:6">
      <c r="A5" s="475" t="s">
        <v>9551</v>
      </c>
      <c r="D5" s="476">
        <f>D37+D46</f>
        <v>17562</v>
      </c>
      <c r="F5" s="471" t="s">
        <v>9552</v>
      </c>
    </row>
    <row r="6" spans="1:6" ht="15" thickBot="1">
      <c r="D6" s="476">
        <f>HOUNSLOW!D6</f>
        <v>55313</v>
      </c>
      <c r="F6" s="472" t="s">
        <v>9553</v>
      </c>
    </row>
    <row r="7" spans="1:6" ht="15" thickBot="1">
      <c r="D7" s="477">
        <f>D5+D6</f>
        <v>72875</v>
      </c>
    </row>
    <row r="9" spans="1:6">
      <c r="A9" s="471" t="s">
        <v>9554</v>
      </c>
      <c r="D9" s="474">
        <f>D25+SUM(D28:D30)+D34+D43</f>
        <v>53309</v>
      </c>
      <c r="F9" s="471" t="s">
        <v>9552</v>
      </c>
    </row>
    <row r="10" spans="1:6" ht="15" thickBot="1">
      <c r="A10" s="471"/>
      <c r="D10" s="478">
        <f>HAMMERSMITH!D6</f>
        <v>22776</v>
      </c>
      <c r="F10" s="471" t="s">
        <v>9316</v>
      </c>
    </row>
    <row r="11" spans="1:6" ht="15" thickBot="1">
      <c r="A11" s="471"/>
      <c r="D11" s="477">
        <f>D9+D10</f>
        <v>76085</v>
      </c>
      <c r="F11" s="471"/>
    </row>
    <row r="12" spans="1:6">
      <c r="D12" s="476"/>
    </row>
    <row r="13" spans="1:6">
      <c r="A13" s="471" t="s">
        <v>9555</v>
      </c>
      <c r="D13" s="474">
        <f>D26+D27+D32+D33+D35+D36+D38+D42</f>
        <v>73408</v>
      </c>
      <c r="F13" s="471" t="s">
        <v>9552</v>
      </c>
    </row>
    <row r="14" spans="1:6">
      <c r="D14" s="476"/>
    </row>
    <row r="15" spans="1:6">
      <c r="A15" s="472" t="s">
        <v>9556</v>
      </c>
      <c r="D15" s="476">
        <f>D39+D40</f>
        <v>18979</v>
      </c>
      <c r="F15" s="471" t="s">
        <v>9552</v>
      </c>
    </row>
    <row r="16" spans="1:6" ht="15" thickBot="1">
      <c r="D16" s="476">
        <f>HILLINGDON!D8</f>
        <v>54835</v>
      </c>
      <c r="F16" s="471" t="s">
        <v>9557</v>
      </c>
    </row>
    <row r="17" spans="1:10" ht="15" thickBot="1">
      <c r="D17" s="477">
        <f>D15+D16</f>
        <v>73814</v>
      </c>
    </row>
    <row r="18" spans="1:10">
      <c r="D18" s="476"/>
    </row>
    <row r="19" spans="1:10">
      <c r="A19" s="471" t="s">
        <v>9558</v>
      </c>
      <c r="D19" s="474">
        <f>D31+D41+D44+D45+D47</f>
        <v>45718</v>
      </c>
      <c r="F19" s="471" t="s">
        <v>9552</v>
      </c>
    </row>
    <row r="20" spans="1:10" ht="15" thickBot="1">
      <c r="A20" s="471"/>
      <c r="D20" s="474">
        <f>HOUNSLOW!D12</f>
        <v>31519</v>
      </c>
      <c r="F20" s="471" t="s">
        <v>9553</v>
      </c>
    </row>
    <row r="21" spans="1:10" ht="15" thickBot="1">
      <c r="A21" s="471"/>
      <c r="D21" s="477">
        <f>D19+D20</f>
        <v>77237</v>
      </c>
      <c r="F21" s="471"/>
    </row>
    <row r="22" spans="1:10">
      <c r="D22" s="476"/>
    </row>
    <row r="23" spans="1:10">
      <c r="A23" s="471" t="s">
        <v>1041</v>
      </c>
      <c r="D23" s="474">
        <f>D5+D9+D13+D15+D19</f>
        <v>208976</v>
      </c>
    </row>
    <row r="24" spans="1:10">
      <c r="D24" s="476"/>
    </row>
    <row r="25" spans="1:10">
      <c r="A25" s="479">
        <v>1</v>
      </c>
      <c r="B25" s="471" t="s">
        <v>9559</v>
      </c>
      <c r="C25" s="292" t="s">
        <v>9560</v>
      </c>
      <c r="D25" s="293">
        <v>8569</v>
      </c>
      <c r="F25" s="471" t="s">
        <v>9554</v>
      </c>
      <c r="H25" s="292"/>
      <c r="J25" s="292"/>
    </row>
    <row r="26" spans="1:10">
      <c r="A26" s="479">
        <v>2</v>
      </c>
      <c r="B26" s="471" t="s">
        <v>9561</v>
      </c>
      <c r="C26" s="292" t="s">
        <v>9562</v>
      </c>
      <c r="D26" s="293">
        <v>9209</v>
      </c>
      <c r="F26" s="471" t="s">
        <v>9555</v>
      </c>
      <c r="H26" s="292"/>
      <c r="J26" s="292"/>
    </row>
    <row r="27" spans="1:10">
      <c r="A27" s="479">
        <v>3</v>
      </c>
      <c r="B27" s="471" t="s">
        <v>9563</v>
      </c>
      <c r="C27" s="292" t="s">
        <v>9564</v>
      </c>
      <c r="D27" s="295">
        <v>9059</v>
      </c>
      <c r="F27" s="471" t="s">
        <v>9555</v>
      </c>
      <c r="H27" s="292"/>
      <c r="J27" s="292"/>
    </row>
    <row r="28" spans="1:10">
      <c r="A28" s="479">
        <v>4</v>
      </c>
      <c r="B28" s="471" t="s">
        <v>9565</v>
      </c>
      <c r="C28" s="292" t="s">
        <v>9566</v>
      </c>
      <c r="D28" s="293">
        <v>8975</v>
      </c>
      <c r="F28" s="471" t="s">
        <v>9554</v>
      </c>
      <c r="H28" s="292"/>
      <c r="J28" s="292"/>
    </row>
    <row r="29" spans="1:10">
      <c r="A29" s="479">
        <v>5</v>
      </c>
      <c r="B29" s="471" t="s">
        <v>9567</v>
      </c>
      <c r="C29" s="292" t="s">
        <v>9568</v>
      </c>
      <c r="D29" s="293">
        <v>8752</v>
      </c>
      <c r="F29" s="471" t="s">
        <v>9554</v>
      </c>
      <c r="H29" s="292"/>
      <c r="J29" s="292"/>
    </row>
    <row r="30" spans="1:10">
      <c r="A30" s="479">
        <v>6</v>
      </c>
      <c r="B30" s="471" t="s">
        <v>9569</v>
      </c>
      <c r="C30" s="292" t="s">
        <v>9570</v>
      </c>
      <c r="D30" s="293">
        <v>9989</v>
      </c>
      <c r="F30" s="471" t="s">
        <v>9554</v>
      </c>
      <c r="H30" s="292"/>
      <c r="J30" s="292"/>
    </row>
    <row r="31" spans="1:10">
      <c r="A31" s="479">
        <v>7</v>
      </c>
      <c r="B31" s="471" t="s">
        <v>9571</v>
      </c>
      <c r="C31" s="292" t="s">
        <v>9572</v>
      </c>
      <c r="D31" s="295">
        <v>9276</v>
      </c>
      <c r="F31" s="471" t="s">
        <v>9558</v>
      </c>
      <c r="H31" s="292"/>
      <c r="J31" s="292"/>
    </row>
    <row r="32" spans="1:10">
      <c r="A32" s="479">
        <v>8</v>
      </c>
      <c r="B32" s="471" t="s">
        <v>9573</v>
      </c>
      <c r="C32" s="292" t="s">
        <v>9574</v>
      </c>
      <c r="D32" s="293">
        <v>10465</v>
      </c>
      <c r="F32" s="471" t="s">
        <v>9555</v>
      </c>
      <c r="H32" s="292"/>
      <c r="J32" s="292"/>
    </row>
    <row r="33" spans="1:10">
      <c r="A33" s="479">
        <v>9</v>
      </c>
      <c r="B33" s="471" t="s">
        <v>9575</v>
      </c>
      <c r="C33" s="292" t="s">
        <v>9576</v>
      </c>
      <c r="D33" s="293">
        <v>8405</v>
      </c>
      <c r="F33" s="471" t="s">
        <v>9555</v>
      </c>
      <c r="H33" s="292"/>
      <c r="J33" s="292"/>
    </row>
    <row r="34" spans="1:10">
      <c r="A34" s="479">
        <v>10</v>
      </c>
      <c r="B34" s="471" t="s">
        <v>9577</v>
      </c>
      <c r="C34" s="292" t="s">
        <v>9578</v>
      </c>
      <c r="D34" s="293">
        <v>8625</v>
      </c>
      <c r="F34" s="471" t="s">
        <v>9554</v>
      </c>
      <c r="H34" s="292"/>
      <c r="J34" s="292"/>
    </row>
    <row r="35" spans="1:10">
      <c r="A35" s="479">
        <v>11</v>
      </c>
      <c r="B35" s="471" t="s">
        <v>9579</v>
      </c>
      <c r="C35" s="292" t="s">
        <v>9580</v>
      </c>
      <c r="D35" s="293">
        <v>8858</v>
      </c>
      <c r="F35" s="471" t="s">
        <v>9555</v>
      </c>
      <c r="H35" s="292"/>
      <c r="J35" s="292"/>
    </row>
    <row r="36" spans="1:10">
      <c r="A36" s="479">
        <v>12</v>
      </c>
      <c r="B36" s="471" t="s">
        <v>9581</v>
      </c>
      <c r="C36" s="292" t="s">
        <v>9582</v>
      </c>
      <c r="D36" s="295">
        <v>9625</v>
      </c>
      <c r="F36" s="471" t="s">
        <v>9555</v>
      </c>
      <c r="H36" s="292"/>
      <c r="J36" s="292"/>
    </row>
    <row r="37" spans="1:10">
      <c r="A37" s="479">
        <v>13</v>
      </c>
      <c r="B37" s="471" t="s">
        <v>3464</v>
      </c>
      <c r="C37" s="292" t="s">
        <v>9583</v>
      </c>
      <c r="D37" s="293">
        <v>8575</v>
      </c>
      <c r="F37" s="475" t="s">
        <v>9551</v>
      </c>
      <c r="H37" s="292"/>
      <c r="J37" s="292"/>
    </row>
    <row r="38" spans="1:10">
      <c r="A38" s="479">
        <v>14</v>
      </c>
      <c r="B38" s="471" t="s">
        <v>9584</v>
      </c>
      <c r="C38" s="292" t="s">
        <v>9585</v>
      </c>
      <c r="D38" s="295">
        <v>8849</v>
      </c>
      <c r="F38" s="471" t="s">
        <v>9555</v>
      </c>
      <c r="H38" s="292"/>
      <c r="J38" s="292"/>
    </row>
    <row r="39" spans="1:10">
      <c r="A39" s="479">
        <v>15</v>
      </c>
      <c r="B39" s="471" t="s">
        <v>9586</v>
      </c>
      <c r="C39" s="292" t="s">
        <v>9587</v>
      </c>
      <c r="D39" s="293">
        <v>9381</v>
      </c>
      <c r="F39" s="472" t="s">
        <v>9556</v>
      </c>
      <c r="H39" s="292"/>
      <c r="J39" s="292"/>
    </row>
    <row r="40" spans="1:10">
      <c r="A40" s="479">
        <v>16</v>
      </c>
      <c r="B40" s="471" t="s">
        <v>9588</v>
      </c>
      <c r="C40" s="292" t="s">
        <v>9589</v>
      </c>
      <c r="D40" s="293">
        <v>9598</v>
      </c>
      <c r="F40" s="472" t="s">
        <v>9556</v>
      </c>
      <c r="H40" s="292"/>
      <c r="J40" s="292"/>
    </row>
    <row r="41" spans="1:10">
      <c r="A41" s="479">
        <v>17</v>
      </c>
      <c r="B41" s="471" t="s">
        <v>9590</v>
      </c>
      <c r="C41" s="292" t="s">
        <v>9591</v>
      </c>
      <c r="D41" s="295">
        <v>8974</v>
      </c>
      <c r="F41" s="471" t="s">
        <v>9558</v>
      </c>
      <c r="H41" s="292"/>
      <c r="J41" s="292"/>
    </row>
    <row r="42" spans="1:10">
      <c r="A42" s="479">
        <v>18</v>
      </c>
      <c r="B42" s="471" t="s">
        <v>9592</v>
      </c>
      <c r="C42" s="292" t="s">
        <v>9593</v>
      </c>
      <c r="D42" s="295">
        <v>8938</v>
      </c>
      <c r="F42" s="471" t="s">
        <v>9555</v>
      </c>
      <c r="H42" s="292"/>
      <c r="J42" s="292"/>
    </row>
    <row r="43" spans="1:10">
      <c r="A43" s="479">
        <v>19</v>
      </c>
      <c r="B43" s="471" t="s">
        <v>9594</v>
      </c>
      <c r="C43" s="292" t="s">
        <v>9595</v>
      </c>
      <c r="D43" s="293">
        <v>8399</v>
      </c>
      <c r="F43" s="471" t="s">
        <v>9554</v>
      </c>
      <c r="H43" s="292"/>
      <c r="J43" s="292"/>
    </row>
    <row r="44" spans="1:10">
      <c r="A44" s="479">
        <v>20</v>
      </c>
      <c r="B44" s="471" t="s">
        <v>9596</v>
      </c>
      <c r="C44" s="292" t="s">
        <v>9597</v>
      </c>
      <c r="D44" s="295">
        <v>9353</v>
      </c>
      <c r="F44" s="471" t="s">
        <v>9558</v>
      </c>
      <c r="H44" s="292"/>
      <c r="J44" s="292"/>
    </row>
    <row r="45" spans="1:10">
      <c r="A45" s="479">
        <v>21</v>
      </c>
      <c r="B45" s="471" t="s">
        <v>9598</v>
      </c>
      <c r="C45" s="292" t="s">
        <v>9599</v>
      </c>
      <c r="D45" s="295">
        <v>9613</v>
      </c>
      <c r="F45" s="471" t="s">
        <v>9558</v>
      </c>
      <c r="H45" s="292"/>
      <c r="J45" s="292"/>
    </row>
    <row r="46" spans="1:10">
      <c r="A46" s="479">
        <v>22</v>
      </c>
      <c r="B46" s="471" t="s">
        <v>9600</v>
      </c>
      <c r="C46" s="292" t="s">
        <v>9601</v>
      </c>
      <c r="D46" s="293">
        <v>8987</v>
      </c>
      <c r="F46" s="475" t="s">
        <v>9551</v>
      </c>
      <c r="H46" s="292"/>
      <c r="J46" s="292"/>
    </row>
    <row r="47" spans="1:10">
      <c r="A47" s="479">
        <v>23</v>
      </c>
      <c r="B47" s="471" t="s">
        <v>8609</v>
      </c>
      <c r="C47" s="292" t="s">
        <v>9602</v>
      </c>
      <c r="D47" s="293">
        <v>8502</v>
      </c>
      <c r="F47" s="471" t="s">
        <v>9558</v>
      </c>
      <c r="H47" s="292"/>
      <c r="J47" s="292"/>
    </row>
    <row r="48" spans="1:10">
      <c r="A48" s="479"/>
      <c r="B48" s="471"/>
      <c r="C48" s="471"/>
      <c r="D48" s="474"/>
      <c r="F48" s="471"/>
    </row>
    <row r="49" spans="1:6">
      <c r="A49" s="472" t="s">
        <v>9603</v>
      </c>
    </row>
    <row r="50" spans="1:6" ht="16.5" customHeight="1"/>
    <row r="51" spans="1:6">
      <c r="A51" s="480"/>
    </row>
    <row r="54" spans="1:6">
      <c r="A54" s="471"/>
      <c r="D54" s="473"/>
    </row>
    <row r="56" spans="1:6">
      <c r="A56" s="471"/>
      <c r="B56" s="471"/>
      <c r="C56" s="471"/>
      <c r="D56" s="473"/>
      <c r="F56" s="471"/>
    </row>
    <row r="57" spans="1:6">
      <c r="A57" s="471"/>
      <c r="B57" s="471"/>
      <c r="C57" s="471"/>
      <c r="D57" s="473"/>
      <c r="F57" s="471"/>
    </row>
    <row r="58" spans="1:6">
      <c r="A58" s="471"/>
      <c r="B58" s="471"/>
      <c r="C58" s="471"/>
      <c r="D58" s="473"/>
      <c r="F58" s="471"/>
    </row>
    <row r="59" spans="1:6">
      <c r="A59" s="471"/>
      <c r="B59" s="471"/>
      <c r="C59" s="471"/>
      <c r="D59" s="473"/>
      <c r="F59" s="471"/>
    </row>
    <row r="60" spans="1:6">
      <c r="A60" s="471"/>
      <c r="B60" s="471"/>
      <c r="C60" s="471"/>
      <c r="D60" s="473"/>
      <c r="F60" s="471"/>
    </row>
    <row r="61" spans="1:6">
      <c r="A61" s="471"/>
      <c r="B61" s="471"/>
      <c r="C61" s="471"/>
      <c r="D61" s="473"/>
      <c r="F61" s="471"/>
    </row>
    <row r="62" spans="1:6">
      <c r="A62" s="471"/>
      <c r="B62" s="471"/>
      <c r="C62" s="471"/>
      <c r="D62" s="473"/>
      <c r="F62" s="471"/>
    </row>
    <row r="63" spans="1:6">
      <c r="A63" s="471"/>
      <c r="B63" s="471"/>
      <c r="C63" s="471"/>
      <c r="D63" s="473"/>
      <c r="F63" s="471"/>
    </row>
    <row r="64" spans="1:6">
      <c r="A64" s="471"/>
      <c r="B64" s="471"/>
      <c r="C64" s="471"/>
      <c r="D64" s="473"/>
      <c r="F64" s="471"/>
    </row>
    <row r="65" spans="1:6">
      <c r="A65" s="471"/>
      <c r="B65" s="471"/>
      <c r="C65" s="471"/>
      <c r="D65" s="473"/>
      <c r="F65" s="471"/>
    </row>
    <row r="66" spans="1:6">
      <c r="A66" s="471"/>
      <c r="B66" s="471"/>
      <c r="C66" s="471"/>
      <c r="D66" s="473"/>
      <c r="F66" s="471"/>
    </row>
    <row r="67" spans="1:6">
      <c r="A67" s="471"/>
      <c r="B67" s="471"/>
      <c r="C67" s="471"/>
      <c r="D67" s="473"/>
      <c r="F67" s="471"/>
    </row>
    <row r="68" spans="1:6">
      <c r="A68" s="471"/>
      <c r="B68" s="471"/>
      <c r="C68" s="471"/>
      <c r="D68" s="473"/>
      <c r="F68" s="471"/>
    </row>
    <row r="69" spans="1:6">
      <c r="A69" s="471"/>
      <c r="B69" s="471"/>
      <c r="C69" s="471"/>
      <c r="D69" s="473"/>
      <c r="F69" s="471"/>
    </row>
    <row r="70" spans="1:6">
      <c r="A70" s="471"/>
      <c r="B70" s="471"/>
      <c r="C70" s="471"/>
      <c r="D70" s="473"/>
      <c r="F70" s="471"/>
    </row>
    <row r="71" spans="1:6">
      <c r="A71" s="471"/>
      <c r="B71" s="471"/>
      <c r="C71" s="471"/>
      <c r="D71" s="473"/>
      <c r="F71" s="471"/>
    </row>
    <row r="72" spans="1:6">
      <c r="A72" s="471"/>
      <c r="B72" s="471"/>
      <c r="C72" s="471"/>
      <c r="D72" s="473"/>
      <c r="F72" s="471"/>
    </row>
    <row r="73" spans="1:6">
      <c r="A73" s="471"/>
      <c r="B73" s="471"/>
      <c r="C73" s="471"/>
      <c r="D73" s="473"/>
      <c r="F73" s="471"/>
    </row>
    <row r="74" spans="1:6">
      <c r="A74" s="471"/>
      <c r="B74" s="471"/>
      <c r="C74" s="471"/>
      <c r="D74" s="473"/>
      <c r="F74" s="471"/>
    </row>
    <row r="75" spans="1:6">
      <c r="A75" s="471"/>
      <c r="B75" s="471"/>
      <c r="C75" s="471"/>
      <c r="D75" s="473"/>
      <c r="F75" s="471"/>
    </row>
    <row r="76" spans="1:6">
      <c r="A76" s="471"/>
      <c r="B76" s="471"/>
      <c r="C76" s="471"/>
      <c r="D76" s="473"/>
      <c r="F76" s="471"/>
    </row>
    <row r="77" spans="1:6">
      <c r="D77" s="473"/>
      <c r="F77" s="471"/>
    </row>
    <row r="78" spans="1:6">
      <c r="D78" s="481"/>
    </row>
    <row r="79" spans="1:6">
      <c r="D79" s="473"/>
    </row>
    <row r="80" spans="1:6">
      <c r="D80" s="481"/>
    </row>
    <row r="81" spans="1:6">
      <c r="A81" s="471"/>
      <c r="B81" s="471"/>
      <c r="C81" s="471"/>
      <c r="D81" s="473"/>
      <c r="F81" s="471"/>
    </row>
    <row r="82" spans="1:6">
      <c r="A82" s="471"/>
      <c r="B82" s="471"/>
      <c r="C82" s="471"/>
      <c r="D82" s="473"/>
      <c r="F82" s="471"/>
    </row>
    <row r="85" spans="1:6">
      <c r="A85" s="471"/>
      <c r="D85" s="473"/>
    </row>
    <row r="86" spans="1:6">
      <c r="A86" s="471"/>
      <c r="D86" s="473"/>
    </row>
    <row r="87" spans="1:6">
      <c r="A87" s="471"/>
      <c r="D87" s="473"/>
    </row>
    <row r="89" spans="1:6">
      <c r="A89" s="471"/>
    </row>
  </sheetData>
  <printOptions gridLinesSet="0"/>
  <pageMargins left="0.78740157480314965" right="0" top="0.51181102362204722" bottom="0.51181102362204722" header="0.51181102362204722" footer="0.51181102362204722"/>
  <pageSetup paperSize="9" scale="69" orientation="portrait" horizontalDpi="300" verticalDpi="300" r:id="rId1"/>
  <headerFooter alignWithMargins="0">
    <oddFooter>&amp;C&amp;"Times New Roman,Regular"&amp;8&amp;P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30"/>
  <sheetViews>
    <sheetView showGridLines="0" zoomScaleNormal="100" workbookViewId="0"/>
  </sheetViews>
  <sheetFormatPr defaultColWidth="12.59765625" defaultRowHeight="14.5"/>
  <cols>
    <col min="1" max="1" width="4.8984375" style="772" customWidth="1"/>
    <col min="2" max="2" width="52.59765625" style="772" customWidth="1"/>
    <col min="3" max="3" width="11.59765625" style="772" customWidth="1"/>
    <col min="4" max="4" width="10" style="772" customWidth="1"/>
    <col min="5" max="5" width="2.296875" style="772" customWidth="1"/>
    <col min="6" max="6" width="30.69921875" style="772" customWidth="1"/>
    <col min="7" max="16384" width="12.59765625" style="772"/>
  </cols>
  <sheetData>
    <row r="1" spans="1:6">
      <c r="A1" s="771" t="s">
        <v>1075</v>
      </c>
      <c r="D1" s="773">
        <v>2016</v>
      </c>
    </row>
    <row r="3" spans="1:6">
      <c r="A3" s="771" t="s">
        <v>14269</v>
      </c>
      <c r="C3" s="771"/>
      <c r="D3" s="774">
        <f t="shared" ref="D3" si="0">SUM(D7:D11)</f>
        <v>383226</v>
      </c>
    </row>
    <row r="4" spans="1:6" ht="15" thickBot="1">
      <c r="A4" s="771" t="s">
        <v>14270</v>
      </c>
      <c r="C4" s="771"/>
      <c r="D4" s="775">
        <f t="shared" ref="D4" si="1">D50</f>
        <v>183038</v>
      </c>
    </row>
    <row r="5" spans="1:6" ht="15" thickBot="1">
      <c r="D5" s="775">
        <f t="shared" ref="D5" si="2">D3+D4</f>
        <v>566264</v>
      </c>
    </row>
    <row r="6" spans="1:6">
      <c r="D6" s="776"/>
    </row>
    <row r="7" spans="1:6">
      <c r="A7" s="771" t="s">
        <v>14271</v>
      </c>
      <c r="C7" s="771"/>
      <c r="D7" s="774">
        <f t="shared" ref="D7" si="3">D82</f>
        <v>68506</v>
      </c>
      <c r="F7" s="777"/>
    </row>
    <row r="8" spans="1:6">
      <c r="A8" s="771" t="s">
        <v>14272</v>
      </c>
      <c r="C8" s="771"/>
      <c r="D8" s="774">
        <f t="shared" ref="D8" si="4">D100</f>
        <v>57390</v>
      </c>
      <c r="F8" s="777"/>
    </row>
    <row r="9" spans="1:6">
      <c r="A9" s="771" t="s">
        <v>14273</v>
      </c>
      <c r="C9" s="771"/>
      <c r="D9" s="774">
        <f t="shared" ref="D9" si="5">D125</f>
        <v>70806</v>
      </c>
      <c r="F9" s="777"/>
    </row>
    <row r="10" spans="1:6">
      <c r="A10" s="771" t="s">
        <v>14274</v>
      </c>
      <c r="C10" s="771"/>
      <c r="D10" s="774">
        <f t="shared" ref="D10" si="6">D156</f>
        <v>69941</v>
      </c>
      <c r="F10" s="777"/>
    </row>
    <row r="11" spans="1:6">
      <c r="A11" s="771" t="s">
        <v>14275</v>
      </c>
      <c r="C11" s="771"/>
      <c r="D11" s="774">
        <f t="shared" ref="D11" si="7">D187</f>
        <v>116583</v>
      </c>
      <c r="F11" s="777"/>
    </row>
    <row r="13" spans="1:6">
      <c r="A13" s="771" t="s">
        <v>14276</v>
      </c>
      <c r="D13" s="774">
        <f t="shared" ref="D13" si="8">D178</f>
        <v>39124</v>
      </c>
      <c r="F13" s="771" t="s">
        <v>14277</v>
      </c>
    </row>
    <row r="14" spans="1:6" ht="15" thickBot="1">
      <c r="D14" s="775">
        <f t="shared" ref="D14" si="9">D224</f>
        <v>34350</v>
      </c>
      <c r="F14" s="771" t="s">
        <v>14278</v>
      </c>
    </row>
    <row r="15" spans="1:6" ht="15" thickBot="1">
      <c r="D15" s="775">
        <f t="shared" ref="D15" si="10">D13+D14</f>
        <v>73474</v>
      </c>
    </row>
    <row r="16" spans="1:6">
      <c r="D16" s="776"/>
    </row>
    <row r="17" spans="1:6">
      <c r="A17" s="771" t="s">
        <v>14279</v>
      </c>
      <c r="D17" s="774">
        <f>D73</f>
        <v>78387</v>
      </c>
      <c r="F17" s="771" t="s">
        <v>14280</v>
      </c>
    </row>
    <row r="18" spans="1:6">
      <c r="D18" s="776"/>
    </row>
    <row r="19" spans="1:6">
      <c r="A19" s="771" t="s">
        <v>14281</v>
      </c>
      <c r="D19" s="774">
        <f t="shared" ref="D19" si="11">D74</f>
        <v>29579</v>
      </c>
      <c r="F19" s="771" t="s">
        <v>14280</v>
      </c>
    </row>
    <row r="20" spans="1:6" ht="15" thickBot="1">
      <c r="D20" s="775">
        <f t="shared" ref="D20" si="12">D148</f>
        <v>41926</v>
      </c>
      <c r="F20" s="771" t="s">
        <v>14282</v>
      </c>
    </row>
    <row r="21" spans="1:6" ht="15" thickBot="1">
      <c r="D21" s="775">
        <f t="shared" ref="D21" si="13">D19+D20</f>
        <v>71505</v>
      </c>
    </row>
    <row r="22" spans="1:6">
      <c r="D22" s="776"/>
    </row>
    <row r="23" spans="1:6">
      <c r="A23" s="771" t="s">
        <v>14283</v>
      </c>
      <c r="D23" s="774">
        <f>D75</f>
        <v>75072</v>
      </c>
      <c r="F23" s="771" t="s">
        <v>14280</v>
      </c>
    </row>
    <row r="24" spans="1:6">
      <c r="D24" s="776"/>
    </row>
    <row r="25" spans="1:6">
      <c r="A25" s="771" t="s">
        <v>14284</v>
      </c>
      <c r="D25" s="774">
        <f t="shared" ref="D25" si="14">D93</f>
        <v>68506</v>
      </c>
      <c r="F25" s="771" t="s">
        <v>6217</v>
      </c>
    </row>
    <row r="26" spans="1:6" ht="15" thickBot="1">
      <c r="A26" s="771"/>
      <c r="D26" s="775">
        <f t="shared" ref="D26" si="15">D225</f>
        <v>6164</v>
      </c>
      <c r="F26" s="771" t="s">
        <v>14278</v>
      </c>
    </row>
    <row r="27" spans="1:6" ht="15" thickBot="1">
      <c r="A27" s="771"/>
      <c r="D27" s="778">
        <f t="shared" ref="D27" si="16">D25+D26</f>
        <v>74670</v>
      </c>
      <c r="F27" s="771"/>
    </row>
    <row r="28" spans="1:6">
      <c r="D28" s="776"/>
    </row>
    <row r="29" spans="1:6">
      <c r="A29" s="771" t="s">
        <v>14285</v>
      </c>
      <c r="D29" s="774">
        <f t="shared" ref="D29" si="17">D118</f>
        <v>57390</v>
      </c>
      <c r="F29" s="771" t="s">
        <v>13689</v>
      </c>
    </row>
    <row r="30" spans="1:6" ht="15" thickBot="1">
      <c r="D30" s="775">
        <f t="shared" ref="D30" si="18">D179</f>
        <v>14282</v>
      </c>
      <c r="F30" s="771" t="s">
        <v>14277</v>
      </c>
    </row>
    <row r="31" spans="1:6" ht="15" thickBot="1">
      <c r="D31" s="775">
        <f t="shared" ref="D31" si="19">D29+D30</f>
        <v>71672</v>
      </c>
    </row>
    <row r="32" spans="1:6">
      <c r="D32" s="776"/>
    </row>
    <row r="33" spans="1:6">
      <c r="A33" s="771" t="s">
        <v>14286</v>
      </c>
      <c r="D33" s="774">
        <f t="shared" ref="D33" si="20">D149</f>
        <v>28880</v>
      </c>
      <c r="F33" s="771" t="s">
        <v>14282</v>
      </c>
    </row>
    <row r="34" spans="1:6" ht="15" thickBot="1">
      <c r="D34" s="775">
        <f t="shared" ref="D34" si="21">D227</f>
        <v>48166</v>
      </c>
      <c r="F34" s="771" t="s">
        <v>14278</v>
      </c>
    </row>
    <row r="35" spans="1:6" ht="15" thickBot="1">
      <c r="D35" s="775">
        <f>D33+D34</f>
        <v>77046</v>
      </c>
    </row>
    <row r="36" spans="1:6">
      <c r="D36" s="776"/>
    </row>
    <row r="37" spans="1:6">
      <c r="A37" s="771" t="s">
        <v>14287</v>
      </c>
      <c r="D37" s="776">
        <f>KENT!D43</f>
        <v>15307</v>
      </c>
      <c r="F37" s="772" t="s">
        <v>14288</v>
      </c>
    </row>
    <row r="38" spans="1:6">
      <c r="D38" s="776">
        <f>D180</f>
        <v>16535</v>
      </c>
      <c r="F38" s="771" t="s">
        <v>14277</v>
      </c>
    </row>
    <row r="39" spans="1:6">
      <c r="D39" s="776">
        <f>KENT!D45</f>
        <v>14357</v>
      </c>
      <c r="F39" s="771" t="s">
        <v>14289</v>
      </c>
    </row>
    <row r="40" spans="1:6" ht="15" thickBot="1">
      <c r="A40" s="771"/>
      <c r="D40" s="775">
        <f>D226</f>
        <v>27903</v>
      </c>
      <c r="F40" s="771" t="s">
        <v>14278</v>
      </c>
    </row>
    <row r="41" spans="1:6" ht="15" thickBot="1">
      <c r="A41" s="771"/>
      <c r="D41" s="775">
        <f>SUM(D37:D40)</f>
        <v>74102</v>
      </c>
      <c r="F41" s="771"/>
    </row>
    <row r="42" spans="1:6">
      <c r="D42" s="776"/>
    </row>
    <row r="43" spans="1:6">
      <c r="A43" s="771" t="s">
        <v>1041</v>
      </c>
      <c r="D43" s="774">
        <f>D15+D17+D21+D23+D27+D31+D35+D38+D40</f>
        <v>566264</v>
      </c>
    </row>
    <row r="44" spans="1:6">
      <c r="D44" s="776"/>
    </row>
    <row r="45" spans="1:6">
      <c r="A45" s="771" t="s">
        <v>14290</v>
      </c>
    </row>
    <row r="46" spans="1:6">
      <c r="A46" s="771"/>
    </row>
    <row r="48" spans="1:6">
      <c r="D48" s="10" t="s">
        <v>285</v>
      </c>
      <c r="E48" s="16"/>
      <c r="F48" s="5" t="s">
        <v>4116</v>
      </c>
    </row>
    <row r="49" spans="1:9">
      <c r="D49" s="15">
        <v>2016</v>
      </c>
      <c r="F49" s="18" t="s">
        <v>286</v>
      </c>
    </row>
    <row r="50" spans="1:9">
      <c r="A50" s="771" t="s">
        <v>14270</v>
      </c>
      <c r="C50" s="771"/>
      <c r="D50" s="774">
        <f>SUM(D51:D71)</f>
        <v>183038</v>
      </c>
    </row>
    <row r="51" spans="1:9">
      <c r="A51" s="779">
        <v>1</v>
      </c>
      <c r="B51" s="771" t="s">
        <v>14291</v>
      </c>
      <c r="C51" s="292" t="s">
        <v>14292</v>
      </c>
      <c r="D51" s="293">
        <v>6518</v>
      </c>
      <c r="F51" s="771" t="s">
        <v>14279</v>
      </c>
      <c r="G51" s="292"/>
      <c r="I51" s="292"/>
    </row>
    <row r="52" spans="1:9">
      <c r="A52" s="779">
        <v>2</v>
      </c>
      <c r="B52" s="771" t="s">
        <v>14293</v>
      </c>
      <c r="C52" s="292" t="s">
        <v>14294</v>
      </c>
      <c r="D52" s="293">
        <v>6120</v>
      </c>
      <c r="F52" s="771" t="s">
        <v>14279</v>
      </c>
      <c r="G52" s="292"/>
      <c r="I52" s="292"/>
    </row>
    <row r="53" spans="1:9">
      <c r="A53" s="779">
        <v>3</v>
      </c>
      <c r="B53" s="771" t="s">
        <v>14295</v>
      </c>
      <c r="C53" s="292" t="s">
        <v>14296</v>
      </c>
      <c r="D53" s="293">
        <v>9318</v>
      </c>
      <c r="F53" s="771" t="s">
        <v>14281</v>
      </c>
      <c r="G53" s="292"/>
      <c r="I53" s="292"/>
    </row>
    <row r="54" spans="1:9">
      <c r="A54" s="779">
        <v>4</v>
      </c>
      <c r="B54" s="771" t="s">
        <v>14297</v>
      </c>
      <c r="C54" s="292" t="s">
        <v>14298</v>
      </c>
      <c r="D54" s="293">
        <v>10429</v>
      </c>
      <c r="F54" s="771" t="s">
        <v>14279</v>
      </c>
      <c r="G54" s="292"/>
      <c r="I54" s="292"/>
    </row>
    <row r="55" spans="1:9">
      <c r="A55" s="779">
        <v>5</v>
      </c>
      <c r="B55" s="771" t="s">
        <v>14299</v>
      </c>
      <c r="C55" s="292" t="s">
        <v>14300</v>
      </c>
      <c r="D55" s="295">
        <v>10478</v>
      </c>
      <c r="F55" s="771" t="s">
        <v>14279</v>
      </c>
      <c r="G55" s="292"/>
      <c r="I55" s="292"/>
    </row>
    <row r="56" spans="1:9">
      <c r="A56" s="779">
        <v>6</v>
      </c>
      <c r="B56" s="771" t="s">
        <v>14301</v>
      </c>
      <c r="C56" s="292" t="s">
        <v>14302</v>
      </c>
      <c r="D56" s="293">
        <v>9966</v>
      </c>
      <c r="F56" s="771" t="s">
        <v>14283</v>
      </c>
      <c r="G56" s="292"/>
      <c r="I56" s="292"/>
    </row>
    <row r="57" spans="1:9">
      <c r="A57" s="779">
        <v>7</v>
      </c>
      <c r="B57" s="771" t="s">
        <v>14303</v>
      </c>
      <c r="C57" s="292" t="s">
        <v>14304</v>
      </c>
      <c r="D57" s="293">
        <v>9171</v>
      </c>
      <c r="F57" s="771" t="s">
        <v>14283</v>
      </c>
      <c r="G57" s="292"/>
      <c r="I57" s="292"/>
    </row>
    <row r="58" spans="1:9">
      <c r="A58" s="779">
        <v>8</v>
      </c>
      <c r="B58" s="771" t="s">
        <v>14305</v>
      </c>
      <c r="C58" s="292" t="s">
        <v>14306</v>
      </c>
      <c r="D58" s="293">
        <v>9998</v>
      </c>
      <c r="F58" s="771" t="s">
        <v>14283</v>
      </c>
      <c r="I58" s="292"/>
    </row>
    <row r="59" spans="1:9">
      <c r="A59" s="779">
        <v>9</v>
      </c>
      <c r="B59" s="771" t="s">
        <v>14307</v>
      </c>
      <c r="C59" s="292" t="s">
        <v>14308</v>
      </c>
      <c r="D59" s="295">
        <v>7324</v>
      </c>
      <c r="F59" s="771" t="s">
        <v>14279</v>
      </c>
      <c r="I59" s="292"/>
    </row>
    <row r="60" spans="1:9">
      <c r="A60" s="779">
        <v>10</v>
      </c>
      <c r="B60" s="771" t="s">
        <v>14309</v>
      </c>
      <c r="C60" s="292" t="s">
        <v>14310</v>
      </c>
      <c r="D60" s="293">
        <v>10580</v>
      </c>
      <c r="F60" s="771" t="s">
        <v>14283</v>
      </c>
      <c r="I60" s="292"/>
    </row>
    <row r="61" spans="1:9">
      <c r="A61" s="779">
        <v>11</v>
      </c>
      <c r="B61" s="771" t="s">
        <v>14311</v>
      </c>
      <c r="C61" s="292" t="s">
        <v>14312</v>
      </c>
      <c r="D61" s="293">
        <v>10101</v>
      </c>
      <c r="F61" s="771" t="s">
        <v>14283</v>
      </c>
      <c r="I61" s="292"/>
    </row>
    <row r="62" spans="1:9">
      <c r="A62" s="779">
        <v>12</v>
      </c>
      <c r="B62" s="771" t="s">
        <v>877</v>
      </c>
      <c r="C62" s="292" t="s">
        <v>14313</v>
      </c>
      <c r="D62" s="293">
        <v>10037</v>
      </c>
      <c r="F62" s="771" t="s">
        <v>14281</v>
      </c>
      <c r="I62" s="292"/>
    </row>
    <row r="63" spans="1:9">
      <c r="A63" s="779">
        <v>13</v>
      </c>
      <c r="B63" s="771" t="s">
        <v>14314</v>
      </c>
      <c r="C63" s="292" t="s">
        <v>14315</v>
      </c>
      <c r="D63" s="293">
        <v>6171</v>
      </c>
      <c r="F63" s="771" t="s">
        <v>14279</v>
      </c>
      <c r="I63" s="292"/>
    </row>
    <row r="64" spans="1:9">
      <c r="A64" s="779">
        <v>14</v>
      </c>
      <c r="B64" s="771" t="s">
        <v>14316</v>
      </c>
      <c r="C64" s="292" t="s">
        <v>14317</v>
      </c>
      <c r="D64" s="293">
        <v>10224</v>
      </c>
      <c r="F64" s="771" t="s">
        <v>14281</v>
      </c>
      <c r="I64" s="292"/>
    </row>
    <row r="65" spans="1:9">
      <c r="A65" s="779">
        <v>15</v>
      </c>
      <c r="B65" s="771" t="s">
        <v>14318</v>
      </c>
      <c r="C65" s="292" t="s">
        <v>14319</v>
      </c>
      <c r="D65" s="293">
        <v>11357</v>
      </c>
      <c r="F65" s="771" t="s">
        <v>14279</v>
      </c>
      <c r="I65" s="292"/>
    </row>
    <row r="66" spans="1:9">
      <c r="A66" s="779">
        <v>16</v>
      </c>
      <c r="B66" s="771" t="s">
        <v>14320</v>
      </c>
      <c r="C66" s="292" t="s">
        <v>14321</v>
      </c>
      <c r="D66" s="295">
        <v>6716</v>
      </c>
      <c r="F66" s="771" t="s">
        <v>14279</v>
      </c>
      <c r="I66" s="292"/>
    </row>
    <row r="67" spans="1:9">
      <c r="A67" s="779">
        <v>17</v>
      </c>
      <c r="B67" s="771" t="s">
        <v>14322</v>
      </c>
      <c r="C67" s="292" t="s">
        <v>14323</v>
      </c>
      <c r="D67" s="295">
        <v>7686</v>
      </c>
      <c r="F67" s="771" t="s">
        <v>14283</v>
      </c>
      <c r="I67" s="292"/>
    </row>
    <row r="68" spans="1:9">
      <c r="A68" s="779">
        <v>18</v>
      </c>
      <c r="B68" s="771" t="s">
        <v>10565</v>
      </c>
      <c r="C68" s="292" t="s">
        <v>14324</v>
      </c>
      <c r="D68" s="295">
        <v>6609</v>
      </c>
      <c r="F68" s="771" t="s">
        <v>14279</v>
      </c>
      <c r="I68" s="292"/>
    </row>
    <row r="69" spans="1:9">
      <c r="A69" s="779">
        <v>19</v>
      </c>
      <c r="B69" s="771" t="s">
        <v>14325</v>
      </c>
      <c r="C69" s="292" t="s">
        <v>14326</v>
      </c>
      <c r="D69" s="295">
        <v>6665</v>
      </c>
      <c r="F69" s="771" t="s">
        <v>14279</v>
      </c>
      <c r="I69" s="292"/>
    </row>
    <row r="70" spans="1:9">
      <c r="A70" s="779">
        <v>20</v>
      </c>
      <c r="B70" s="771" t="s">
        <v>14327</v>
      </c>
      <c r="C70" s="292" t="s">
        <v>14328</v>
      </c>
      <c r="D70" s="293">
        <v>10354</v>
      </c>
      <c r="F70" s="771" t="s">
        <v>14283</v>
      </c>
      <c r="I70" s="292"/>
    </row>
    <row r="71" spans="1:9">
      <c r="A71" s="779">
        <v>21</v>
      </c>
      <c r="B71" s="771" t="s">
        <v>14329</v>
      </c>
      <c r="C71" s="292" t="s">
        <v>14330</v>
      </c>
      <c r="D71" s="293">
        <v>7216</v>
      </c>
      <c r="F71" s="771" t="s">
        <v>14283</v>
      </c>
      <c r="I71" s="292"/>
    </row>
    <row r="72" spans="1:9">
      <c r="D72" s="295"/>
    </row>
    <row r="73" spans="1:9">
      <c r="A73" s="771" t="s">
        <v>14279</v>
      </c>
      <c r="D73" s="774">
        <f>D51+D52+D54+D55+D59+D63+D65+D66+D68+D69</f>
        <v>78387</v>
      </c>
    </row>
    <row r="74" spans="1:9">
      <c r="A74" s="771" t="s">
        <v>14331</v>
      </c>
      <c r="D74" s="774">
        <f>D53+D62+D64</f>
        <v>29579</v>
      </c>
    </row>
    <row r="75" spans="1:9">
      <c r="A75" s="771" t="s">
        <v>14283</v>
      </c>
      <c r="D75" s="774">
        <f>SUM(D56:D58)+D60+D61+D67+D70+D71</f>
        <v>75072</v>
      </c>
    </row>
    <row r="77" spans="1:9">
      <c r="A77" s="771" t="s">
        <v>14332</v>
      </c>
    </row>
    <row r="78" spans="1:9">
      <c r="A78" s="771"/>
    </row>
    <row r="79" spans="1:9">
      <c r="A79" s="771"/>
    </row>
    <row r="80" spans="1:9">
      <c r="D80" s="10" t="s">
        <v>285</v>
      </c>
      <c r="E80" s="16"/>
      <c r="F80" s="5" t="s">
        <v>4116</v>
      </c>
    </row>
    <row r="81" spans="1:9">
      <c r="D81" s="15">
        <v>2016</v>
      </c>
      <c r="F81" s="18" t="s">
        <v>286</v>
      </c>
    </row>
    <row r="82" spans="1:9">
      <c r="A82" s="771" t="s">
        <v>14333</v>
      </c>
      <c r="D82" s="774">
        <f>SUM(D83:D91)</f>
        <v>68506</v>
      </c>
    </row>
    <row r="83" spans="1:9">
      <c r="A83" s="779">
        <v>1</v>
      </c>
      <c r="B83" s="771" t="s">
        <v>14334</v>
      </c>
      <c r="C83" s="292" t="s">
        <v>14335</v>
      </c>
      <c r="D83" s="316">
        <v>7495</v>
      </c>
      <c r="F83" s="771" t="s">
        <v>14284</v>
      </c>
      <c r="G83" s="292"/>
      <c r="I83" s="292"/>
    </row>
    <row r="84" spans="1:9">
      <c r="A84" s="779">
        <v>2</v>
      </c>
      <c r="B84" s="771" t="s">
        <v>14336</v>
      </c>
      <c r="C84" s="292" t="s">
        <v>14337</v>
      </c>
      <c r="D84" s="316">
        <v>6883</v>
      </c>
      <c r="F84" s="771" t="s">
        <v>14284</v>
      </c>
      <c r="G84" s="292"/>
      <c r="I84" s="292"/>
    </row>
    <row r="85" spans="1:9">
      <c r="A85" s="779">
        <v>3</v>
      </c>
      <c r="B85" s="771" t="s">
        <v>14338</v>
      </c>
      <c r="C85" s="292" t="s">
        <v>14339</v>
      </c>
      <c r="D85" s="316">
        <v>7496</v>
      </c>
      <c r="F85" s="771" t="s">
        <v>14284</v>
      </c>
      <c r="G85" s="292"/>
      <c r="I85" s="292"/>
    </row>
    <row r="86" spans="1:9">
      <c r="A86" s="779">
        <v>4</v>
      </c>
      <c r="B86" s="771" t="s">
        <v>14340</v>
      </c>
      <c r="C86" s="292" t="s">
        <v>14341</v>
      </c>
      <c r="D86" s="316">
        <v>7531</v>
      </c>
      <c r="F86" s="771" t="s">
        <v>14284</v>
      </c>
      <c r="G86" s="292"/>
      <c r="I86" s="292"/>
    </row>
    <row r="87" spans="1:9">
      <c r="A87" s="779">
        <v>5</v>
      </c>
      <c r="B87" s="771" t="s">
        <v>458</v>
      </c>
      <c r="C87" s="292" t="s">
        <v>14342</v>
      </c>
      <c r="D87" s="316">
        <v>7927</v>
      </c>
      <c r="F87" s="771" t="s">
        <v>14284</v>
      </c>
      <c r="G87" s="292"/>
      <c r="I87" s="292"/>
    </row>
    <row r="88" spans="1:9">
      <c r="A88" s="779">
        <v>6</v>
      </c>
      <c r="B88" s="771" t="s">
        <v>14343</v>
      </c>
      <c r="C88" s="292" t="s">
        <v>14344</v>
      </c>
      <c r="D88" s="316">
        <v>7447</v>
      </c>
      <c r="F88" s="771" t="s">
        <v>14284</v>
      </c>
      <c r="G88" s="292"/>
      <c r="I88" s="292"/>
    </row>
    <row r="89" spans="1:9">
      <c r="A89" s="779">
        <v>7</v>
      </c>
      <c r="B89" s="771" t="s">
        <v>14345</v>
      </c>
      <c r="C89" s="292" t="s">
        <v>14346</v>
      </c>
      <c r="D89" s="316">
        <v>7786</v>
      </c>
      <c r="F89" s="771" t="s">
        <v>14284</v>
      </c>
      <c r="G89" s="292"/>
      <c r="I89" s="292"/>
    </row>
    <row r="90" spans="1:9">
      <c r="A90" s="779">
        <v>8</v>
      </c>
      <c r="B90" s="771" t="s">
        <v>14347</v>
      </c>
      <c r="C90" s="292" t="s">
        <v>14348</v>
      </c>
      <c r="D90" s="316">
        <v>8600</v>
      </c>
      <c r="F90" s="771" t="s">
        <v>14284</v>
      </c>
      <c r="G90" s="292"/>
      <c r="I90" s="292"/>
    </row>
    <row r="91" spans="1:9">
      <c r="A91" s="779">
        <v>9</v>
      </c>
      <c r="B91" s="771" t="s">
        <v>14349</v>
      </c>
      <c r="C91" s="292" t="s">
        <v>14350</v>
      </c>
      <c r="D91" s="316">
        <v>7341</v>
      </c>
      <c r="F91" s="771" t="s">
        <v>14284</v>
      </c>
      <c r="G91" s="292"/>
      <c r="I91" s="292"/>
    </row>
    <row r="92" spans="1:9">
      <c r="D92" s="776"/>
    </row>
    <row r="93" spans="1:9">
      <c r="A93" s="771" t="s">
        <v>14351</v>
      </c>
      <c r="D93" s="774">
        <f>SUM(D83:D91)</f>
        <v>68506</v>
      </c>
    </row>
    <row r="94" spans="1:9">
      <c r="D94" s="776"/>
    </row>
    <row r="95" spans="1:9">
      <c r="A95" s="772" t="s">
        <v>14352</v>
      </c>
    </row>
    <row r="96" spans="1:9">
      <c r="A96" s="771"/>
      <c r="B96" s="771"/>
      <c r="D96" s="780"/>
    </row>
    <row r="97" spans="1:9">
      <c r="A97" s="771"/>
      <c r="B97" s="771"/>
      <c r="D97" s="780"/>
    </row>
    <row r="98" spans="1:9">
      <c r="D98" s="10" t="s">
        <v>285</v>
      </c>
      <c r="E98" s="16"/>
      <c r="F98" s="5" t="s">
        <v>4116</v>
      </c>
    </row>
    <row r="99" spans="1:9">
      <c r="D99" s="15">
        <v>2016</v>
      </c>
      <c r="F99" s="18" t="s">
        <v>286</v>
      </c>
    </row>
    <row r="100" spans="1:9">
      <c r="A100" s="771" t="s">
        <v>14353</v>
      </c>
      <c r="D100" s="774">
        <f t="shared" ref="D100" si="22">SUM(D101:D116)</f>
        <v>57390</v>
      </c>
    </row>
    <row r="101" spans="1:9">
      <c r="A101" s="779">
        <v>1</v>
      </c>
      <c r="B101" s="771" t="s">
        <v>14354</v>
      </c>
      <c r="C101" s="292" t="s">
        <v>14355</v>
      </c>
      <c r="D101" s="316">
        <v>4365</v>
      </c>
      <c r="F101" s="771" t="s">
        <v>14285</v>
      </c>
      <c r="G101" s="292"/>
      <c r="I101" s="292"/>
    </row>
    <row r="102" spans="1:9">
      <c r="A102" s="779">
        <v>2</v>
      </c>
      <c r="B102" s="771" t="s">
        <v>14356</v>
      </c>
      <c r="C102" s="292" t="s">
        <v>14357</v>
      </c>
      <c r="D102" s="316">
        <v>3362</v>
      </c>
      <c r="F102" s="771" t="s">
        <v>14285</v>
      </c>
      <c r="G102" s="292"/>
      <c r="I102" s="292"/>
    </row>
    <row r="103" spans="1:9">
      <c r="A103" s="779">
        <v>3</v>
      </c>
      <c r="B103" s="771" t="s">
        <v>14358</v>
      </c>
      <c r="C103" s="292" t="s">
        <v>14359</v>
      </c>
      <c r="D103" s="316">
        <v>3311</v>
      </c>
      <c r="F103" s="771" t="s">
        <v>14285</v>
      </c>
      <c r="G103" s="292"/>
      <c r="I103" s="292"/>
    </row>
    <row r="104" spans="1:9">
      <c r="A104" s="779">
        <v>4</v>
      </c>
      <c r="B104" s="771" t="s">
        <v>883</v>
      </c>
      <c r="C104" s="292" t="s">
        <v>14360</v>
      </c>
      <c r="D104" s="316">
        <v>3559</v>
      </c>
      <c r="F104" s="771" t="s">
        <v>14285</v>
      </c>
      <c r="G104" s="292"/>
      <c r="I104" s="292"/>
    </row>
    <row r="105" spans="1:9">
      <c r="A105" s="779">
        <v>5</v>
      </c>
      <c r="B105" s="771" t="s">
        <v>14361</v>
      </c>
      <c r="C105" s="292" t="s">
        <v>14362</v>
      </c>
      <c r="D105" s="316">
        <v>3272</v>
      </c>
      <c r="F105" s="771" t="s">
        <v>14285</v>
      </c>
      <c r="G105" s="292"/>
      <c r="I105" s="292"/>
    </row>
    <row r="106" spans="1:9">
      <c r="A106" s="779">
        <v>6</v>
      </c>
      <c r="B106" s="771" t="s">
        <v>14363</v>
      </c>
      <c r="C106" s="292" t="s">
        <v>14364</v>
      </c>
      <c r="D106" s="316">
        <v>3710</v>
      </c>
      <c r="F106" s="771" t="s">
        <v>14285</v>
      </c>
      <c r="G106" s="292"/>
      <c r="I106" s="292"/>
    </row>
    <row r="107" spans="1:9">
      <c r="A107" s="779">
        <v>7</v>
      </c>
      <c r="B107" s="771" t="s">
        <v>14365</v>
      </c>
      <c r="C107" s="292" t="s">
        <v>14366</v>
      </c>
      <c r="D107" s="316">
        <v>3617</v>
      </c>
      <c r="F107" s="771" t="s">
        <v>14285</v>
      </c>
      <c r="G107" s="292"/>
      <c r="I107" s="292"/>
    </row>
    <row r="108" spans="1:9">
      <c r="A108" s="779">
        <v>8</v>
      </c>
      <c r="B108" s="771" t="s">
        <v>14367</v>
      </c>
      <c r="C108" s="292" t="s">
        <v>14368</v>
      </c>
      <c r="D108" s="316">
        <v>3969</v>
      </c>
      <c r="F108" s="771" t="s">
        <v>14285</v>
      </c>
      <c r="G108" s="292"/>
      <c r="I108" s="292"/>
    </row>
    <row r="109" spans="1:9">
      <c r="A109" s="779">
        <v>9</v>
      </c>
      <c r="B109" s="771" t="s">
        <v>14369</v>
      </c>
      <c r="C109" s="292" t="s">
        <v>14370</v>
      </c>
      <c r="D109" s="316">
        <v>3562</v>
      </c>
      <c r="F109" s="771" t="s">
        <v>14285</v>
      </c>
      <c r="G109" s="292"/>
      <c r="I109" s="292"/>
    </row>
    <row r="110" spans="1:9">
      <c r="A110" s="779">
        <v>10</v>
      </c>
      <c r="B110" s="771" t="s">
        <v>14371</v>
      </c>
      <c r="C110" s="292" t="s">
        <v>14372</v>
      </c>
      <c r="D110" s="316">
        <v>3953</v>
      </c>
      <c r="F110" s="771" t="s">
        <v>14285</v>
      </c>
      <c r="G110" s="292"/>
      <c r="I110" s="292"/>
    </row>
    <row r="111" spans="1:9">
      <c r="A111" s="779">
        <v>11</v>
      </c>
      <c r="B111" s="771" t="s">
        <v>14373</v>
      </c>
      <c r="C111" s="292" t="s">
        <v>14374</v>
      </c>
      <c r="D111" s="316">
        <v>3318</v>
      </c>
      <c r="F111" s="771" t="s">
        <v>14285</v>
      </c>
      <c r="G111" s="292"/>
      <c r="I111" s="292"/>
    </row>
    <row r="112" spans="1:9">
      <c r="A112" s="779">
        <v>12</v>
      </c>
      <c r="B112" s="771" t="s">
        <v>11213</v>
      </c>
      <c r="C112" s="292" t="s">
        <v>14375</v>
      </c>
      <c r="D112" s="316">
        <v>3904</v>
      </c>
      <c r="F112" s="771" t="s">
        <v>14285</v>
      </c>
      <c r="G112" s="292"/>
      <c r="I112" s="292"/>
    </row>
    <row r="113" spans="1:9">
      <c r="A113" s="779">
        <v>13</v>
      </c>
      <c r="B113" s="771" t="s">
        <v>14376</v>
      </c>
      <c r="C113" s="292" t="s">
        <v>14377</v>
      </c>
      <c r="D113" s="316">
        <v>3132</v>
      </c>
      <c r="F113" s="771" t="s">
        <v>14285</v>
      </c>
      <c r="G113" s="292"/>
      <c r="I113" s="292"/>
    </row>
    <row r="114" spans="1:9">
      <c r="A114" s="779">
        <v>14</v>
      </c>
      <c r="B114" s="771" t="s">
        <v>14378</v>
      </c>
      <c r="C114" s="292" t="s">
        <v>14379</v>
      </c>
      <c r="D114" s="316">
        <v>3065</v>
      </c>
      <c r="F114" s="771" t="s">
        <v>14285</v>
      </c>
      <c r="G114" s="292"/>
      <c r="I114" s="292"/>
    </row>
    <row r="115" spans="1:9">
      <c r="A115" s="779">
        <v>15</v>
      </c>
      <c r="B115" s="771" t="s">
        <v>14380</v>
      </c>
      <c r="C115" s="292" t="s">
        <v>14381</v>
      </c>
      <c r="D115" s="316">
        <v>3616</v>
      </c>
      <c r="F115" s="771" t="s">
        <v>14285</v>
      </c>
      <c r="G115" s="292"/>
      <c r="I115" s="292"/>
    </row>
    <row r="116" spans="1:9">
      <c r="A116" s="779">
        <v>16</v>
      </c>
      <c r="B116" s="771" t="s">
        <v>14382</v>
      </c>
      <c r="C116" s="292" t="s">
        <v>14383</v>
      </c>
      <c r="D116" s="316">
        <v>3675</v>
      </c>
      <c r="F116" s="771" t="s">
        <v>14285</v>
      </c>
      <c r="G116" s="292"/>
      <c r="I116" s="292"/>
    </row>
    <row r="117" spans="1:9">
      <c r="A117" s="779"/>
      <c r="B117" s="771"/>
      <c r="D117" s="774"/>
      <c r="F117" s="771"/>
    </row>
    <row r="118" spans="1:9">
      <c r="A118" s="771" t="s">
        <v>14384</v>
      </c>
      <c r="D118" s="774">
        <f t="shared" ref="D118" si="23">SUM(D101:D116)</f>
        <v>57390</v>
      </c>
      <c r="F118" s="771"/>
    </row>
    <row r="119" spans="1:9">
      <c r="D119" s="776"/>
    </row>
    <row r="120" spans="1:9">
      <c r="A120" s="772" t="s">
        <v>14385</v>
      </c>
    </row>
    <row r="121" spans="1:9">
      <c r="A121" s="771"/>
      <c r="B121" s="771"/>
      <c r="D121" s="780"/>
    </row>
    <row r="122" spans="1:9">
      <c r="A122" s="771"/>
      <c r="B122" s="771"/>
      <c r="D122" s="780"/>
    </row>
    <row r="123" spans="1:9">
      <c r="D123" s="10" t="s">
        <v>285</v>
      </c>
      <c r="E123" s="16"/>
      <c r="F123" s="5" t="s">
        <v>4116</v>
      </c>
    </row>
    <row r="124" spans="1:9">
      <c r="D124" s="15">
        <v>2016</v>
      </c>
      <c r="F124" s="18" t="s">
        <v>286</v>
      </c>
    </row>
    <row r="125" spans="1:9">
      <c r="A125" s="771" t="s">
        <v>14386</v>
      </c>
      <c r="D125" s="774">
        <f t="shared" ref="D125" si="24">SUM(D126:D146)</f>
        <v>70806</v>
      </c>
    </row>
    <row r="126" spans="1:9">
      <c r="A126" s="779">
        <v>1</v>
      </c>
      <c r="B126" s="771" t="s">
        <v>14387</v>
      </c>
      <c r="C126" s="292" t="s">
        <v>14388</v>
      </c>
      <c r="D126" s="316">
        <v>1510</v>
      </c>
      <c r="F126" s="771" t="s">
        <v>14286</v>
      </c>
      <c r="G126" s="292"/>
      <c r="I126" s="292"/>
    </row>
    <row r="127" spans="1:9">
      <c r="A127" s="779">
        <v>2</v>
      </c>
      <c r="B127" s="771" t="s">
        <v>14389</v>
      </c>
      <c r="C127" s="292" t="s">
        <v>14390</v>
      </c>
      <c r="D127" s="316">
        <v>3802</v>
      </c>
      <c r="F127" s="771" t="s">
        <v>14286</v>
      </c>
      <c r="G127" s="292"/>
      <c r="I127" s="292"/>
    </row>
    <row r="128" spans="1:9">
      <c r="A128" s="779">
        <v>3</v>
      </c>
      <c r="B128" s="771" t="s">
        <v>14391</v>
      </c>
      <c r="C128" s="292" t="s">
        <v>14392</v>
      </c>
      <c r="D128" s="316">
        <v>1891</v>
      </c>
      <c r="F128" s="771" t="s">
        <v>14286</v>
      </c>
      <c r="G128" s="292"/>
      <c r="I128" s="292"/>
    </row>
    <row r="129" spans="1:9">
      <c r="A129" s="779">
        <v>4</v>
      </c>
      <c r="B129" s="771" t="s">
        <v>14393</v>
      </c>
      <c r="C129" s="292" t="s">
        <v>14394</v>
      </c>
      <c r="D129" s="316">
        <v>5275</v>
      </c>
      <c r="F129" s="771" t="s">
        <v>14281</v>
      </c>
      <c r="G129" s="292"/>
      <c r="I129" s="292"/>
    </row>
    <row r="130" spans="1:9">
      <c r="A130" s="779">
        <v>5</v>
      </c>
      <c r="B130" s="771" t="s">
        <v>14395</v>
      </c>
      <c r="C130" s="292" t="s">
        <v>14396</v>
      </c>
      <c r="D130" s="316">
        <v>1542</v>
      </c>
      <c r="F130" s="771" t="s">
        <v>14286</v>
      </c>
      <c r="G130" s="292"/>
      <c r="I130" s="292"/>
    </row>
    <row r="131" spans="1:9">
      <c r="A131" s="779">
        <v>6</v>
      </c>
      <c r="B131" s="771" t="s">
        <v>14397</v>
      </c>
      <c r="C131" s="292" t="s">
        <v>14398</v>
      </c>
      <c r="D131" s="316">
        <v>3356</v>
      </c>
      <c r="F131" s="771" t="s">
        <v>14286</v>
      </c>
      <c r="G131" s="292"/>
      <c r="I131" s="292"/>
    </row>
    <row r="132" spans="1:9">
      <c r="A132" s="779">
        <v>7</v>
      </c>
      <c r="B132" s="771" t="s">
        <v>14399</v>
      </c>
      <c r="C132" s="292" t="s">
        <v>14400</v>
      </c>
      <c r="D132" s="316">
        <v>3283</v>
      </c>
      <c r="F132" s="771" t="s">
        <v>14286</v>
      </c>
      <c r="G132" s="292"/>
      <c r="I132" s="292"/>
    </row>
    <row r="133" spans="1:9">
      <c r="A133" s="779">
        <v>8</v>
      </c>
      <c r="B133" s="771" t="s">
        <v>14401</v>
      </c>
      <c r="C133" s="292" t="s">
        <v>14402</v>
      </c>
      <c r="D133" s="316">
        <v>5067</v>
      </c>
      <c r="F133" s="771" t="s">
        <v>14286</v>
      </c>
      <c r="G133" s="292"/>
      <c r="I133" s="292"/>
    </row>
    <row r="134" spans="1:9">
      <c r="A134" s="779">
        <v>9</v>
      </c>
      <c r="B134" s="771" t="s">
        <v>14403</v>
      </c>
      <c r="C134" s="292" t="s">
        <v>14404</v>
      </c>
      <c r="D134" s="316">
        <v>5532</v>
      </c>
      <c r="F134" s="771" t="s">
        <v>14281</v>
      </c>
      <c r="G134" s="292"/>
      <c r="I134" s="292"/>
    </row>
    <row r="135" spans="1:9">
      <c r="A135" s="779">
        <v>10</v>
      </c>
      <c r="B135" s="771" t="s">
        <v>14405</v>
      </c>
      <c r="C135" s="292" t="s">
        <v>14406</v>
      </c>
      <c r="D135" s="316">
        <v>2554</v>
      </c>
      <c r="F135" s="771" t="s">
        <v>14281</v>
      </c>
      <c r="G135" s="292"/>
      <c r="I135" s="292"/>
    </row>
    <row r="136" spans="1:9">
      <c r="A136" s="779">
        <v>11</v>
      </c>
      <c r="B136" s="771" t="s">
        <v>14407</v>
      </c>
      <c r="C136" s="292" t="s">
        <v>14408</v>
      </c>
      <c r="D136" s="316">
        <v>1922</v>
      </c>
      <c r="F136" s="771" t="s">
        <v>14286</v>
      </c>
      <c r="G136" s="292"/>
      <c r="I136" s="292"/>
    </row>
    <row r="137" spans="1:9">
      <c r="A137" s="779">
        <v>12</v>
      </c>
      <c r="B137" s="771" t="s">
        <v>14409</v>
      </c>
      <c r="C137" s="292" t="s">
        <v>14410</v>
      </c>
      <c r="D137" s="316">
        <v>4829</v>
      </c>
      <c r="F137" s="771" t="s">
        <v>14286</v>
      </c>
      <c r="G137" s="292"/>
      <c r="I137" s="292"/>
    </row>
    <row r="138" spans="1:9">
      <c r="A138" s="779">
        <v>13</v>
      </c>
      <c r="B138" s="771" t="s">
        <v>14411</v>
      </c>
      <c r="C138" s="292" t="s">
        <v>14412</v>
      </c>
      <c r="D138" s="316">
        <v>3825</v>
      </c>
      <c r="F138" s="771" t="s">
        <v>14281</v>
      </c>
      <c r="G138" s="292"/>
      <c r="I138" s="292"/>
    </row>
    <row r="139" spans="1:9">
      <c r="A139" s="779">
        <v>14</v>
      </c>
      <c r="B139" s="771" t="s">
        <v>14413</v>
      </c>
      <c r="C139" s="292" t="s">
        <v>14414</v>
      </c>
      <c r="D139" s="316">
        <v>3148</v>
      </c>
      <c r="F139" s="771" t="s">
        <v>14281</v>
      </c>
      <c r="G139" s="292"/>
      <c r="I139" s="292"/>
    </row>
    <row r="140" spans="1:9">
      <c r="A140" s="779">
        <v>15</v>
      </c>
      <c r="B140" s="771" t="s">
        <v>14415</v>
      </c>
      <c r="C140" s="292" t="s">
        <v>14416</v>
      </c>
      <c r="D140" s="316">
        <v>3164</v>
      </c>
      <c r="F140" s="771" t="s">
        <v>14281</v>
      </c>
      <c r="G140" s="292"/>
      <c r="I140" s="292"/>
    </row>
    <row r="141" spans="1:9">
      <c r="A141" s="779">
        <v>16</v>
      </c>
      <c r="B141" s="771" t="s">
        <v>14417</v>
      </c>
      <c r="C141" s="292" t="s">
        <v>14418</v>
      </c>
      <c r="D141" s="316">
        <v>1678</v>
      </c>
      <c r="F141" s="771" t="s">
        <v>14286</v>
      </c>
      <c r="G141" s="292"/>
      <c r="I141" s="292"/>
    </row>
    <row r="142" spans="1:9">
      <c r="A142" s="779">
        <v>17</v>
      </c>
      <c r="B142" s="771" t="s">
        <v>14419</v>
      </c>
      <c r="C142" s="292" t="s">
        <v>14420</v>
      </c>
      <c r="D142" s="316">
        <v>3500</v>
      </c>
      <c r="F142" s="771" t="s">
        <v>14281</v>
      </c>
      <c r="G142" s="292"/>
      <c r="I142" s="292"/>
    </row>
    <row r="143" spans="1:9">
      <c r="A143" s="779">
        <v>18</v>
      </c>
      <c r="B143" s="771" t="s">
        <v>14421</v>
      </c>
      <c r="C143" s="292" t="s">
        <v>14422</v>
      </c>
      <c r="D143" s="316">
        <v>3792</v>
      </c>
      <c r="F143" s="771" t="s">
        <v>14281</v>
      </c>
      <c r="G143" s="292"/>
      <c r="I143" s="292"/>
    </row>
    <row r="144" spans="1:9">
      <c r="A144" s="779">
        <v>19</v>
      </c>
      <c r="B144" s="771" t="s">
        <v>14423</v>
      </c>
      <c r="C144" s="292" t="s">
        <v>14424</v>
      </c>
      <c r="D144" s="316">
        <v>3913</v>
      </c>
      <c r="F144" s="771" t="s">
        <v>14281</v>
      </c>
      <c r="G144" s="292"/>
      <c r="I144" s="292"/>
    </row>
    <row r="145" spans="1:9">
      <c r="A145" s="779">
        <v>20</v>
      </c>
      <c r="B145" s="771" t="s">
        <v>14425</v>
      </c>
      <c r="C145" s="292" t="s">
        <v>14426</v>
      </c>
      <c r="D145" s="316">
        <v>3480</v>
      </c>
      <c r="F145" s="771" t="s">
        <v>14281</v>
      </c>
      <c r="G145" s="292"/>
      <c r="I145" s="292"/>
    </row>
    <row r="146" spans="1:9">
      <c r="A146" s="779">
        <v>21</v>
      </c>
      <c r="B146" s="771" t="s">
        <v>14427</v>
      </c>
      <c r="C146" s="292" t="s">
        <v>14428</v>
      </c>
      <c r="D146" s="316">
        <v>3743</v>
      </c>
      <c r="F146" s="771" t="s">
        <v>14281</v>
      </c>
      <c r="G146" s="292"/>
      <c r="I146" s="292"/>
    </row>
    <row r="147" spans="1:9">
      <c r="D147" s="776"/>
    </row>
    <row r="148" spans="1:9">
      <c r="A148" s="771" t="s">
        <v>14331</v>
      </c>
      <c r="D148" s="774">
        <f>D129+D134+D135+SUM(D138:D140)+SUM(D142:D146)</f>
        <v>41926</v>
      </c>
    </row>
    <row r="149" spans="1:9">
      <c r="A149" s="771" t="s">
        <v>14429</v>
      </c>
      <c r="D149" s="774">
        <f>SUM(D126:D128)+SUM(D130:D133)+D136+D137+D141</f>
        <v>28880</v>
      </c>
    </row>
    <row r="150" spans="1:9">
      <c r="A150" s="771"/>
      <c r="B150" s="771"/>
      <c r="D150" s="774"/>
    </row>
    <row r="151" spans="1:9" ht="15" customHeight="1">
      <c r="A151" s="772" t="s">
        <v>14430</v>
      </c>
    </row>
    <row r="152" spans="1:9" ht="15" customHeight="1">
      <c r="A152" s="771"/>
      <c r="B152" s="771"/>
      <c r="D152" s="780"/>
    </row>
    <row r="153" spans="1:9" ht="15" customHeight="1">
      <c r="A153" s="771"/>
      <c r="B153" s="771"/>
      <c r="D153" s="780"/>
    </row>
    <row r="154" spans="1:9">
      <c r="D154" s="10" t="s">
        <v>285</v>
      </c>
      <c r="E154" s="16"/>
      <c r="F154" s="5" t="s">
        <v>4116</v>
      </c>
    </row>
    <row r="155" spans="1:9">
      <c r="D155" s="15">
        <v>2016</v>
      </c>
      <c r="F155" s="18" t="s">
        <v>286</v>
      </c>
    </row>
    <row r="156" spans="1:9">
      <c r="A156" s="771" t="s">
        <v>14431</v>
      </c>
      <c r="D156" s="774">
        <f t="shared" ref="D156" si="25">SUM(D157:D176)</f>
        <v>69941</v>
      </c>
    </row>
    <row r="157" spans="1:9">
      <c r="A157" s="779">
        <v>1</v>
      </c>
      <c r="B157" s="771" t="s">
        <v>14432</v>
      </c>
      <c r="C157" s="292" t="s">
        <v>14433</v>
      </c>
      <c r="D157" s="316">
        <v>3912</v>
      </c>
      <c r="F157" s="771" t="s">
        <v>14276</v>
      </c>
      <c r="G157" s="292"/>
      <c r="I157" s="292"/>
    </row>
    <row r="158" spans="1:9">
      <c r="A158" s="779">
        <v>2</v>
      </c>
      <c r="B158" s="771" t="s">
        <v>14434</v>
      </c>
      <c r="C158" s="292" t="s">
        <v>14435</v>
      </c>
      <c r="D158" s="316">
        <v>3948</v>
      </c>
      <c r="F158" s="771" t="s">
        <v>14285</v>
      </c>
      <c r="G158" s="292"/>
      <c r="I158" s="292"/>
    </row>
    <row r="159" spans="1:9">
      <c r="A159" s="779">
        <v>3</v>
      </c>
      <c r="B159" s="771" t="s">
        <v>888</v>
      </c>
      <c r="C159" s="292" t="s">
        <v>14436</v>
      </c>
      <c r="D159" s="316">
        <v>3872</v>
      </c>
      <c r="F159" s="771" t="s">
        <v>14276</v>
      </c>
      <c r="G159" s="292"/>
      <c r="I159" s="292"/>
    </row>
    <row r="160" spans="1:9">
      <c r="A160" s="779">
        <v>4</v>
      </c>
      <c r="B160" s="771" t="s">
        <v>14437</v>
      </c>
      <c r="C160" s="292" t="s">
        <v>14438</v>
      </c>
      <c r="D160" s="316">
        <v>3679</v>
      </c>
      <c r="F160" s="771" t="s">
        <v>14276</v>
      </c>
      <c r="G160" s="292"/>
      <c r="I160" s="292"/>
    </row>
    <row r="161" spans="1:9">
      <c r="A161" s="779">
        <v>5</v>
      </c>
      <c r="B161" s="771" t="s">
        <v>14439</v>
      </c>
      <c r="C161" s="292" t="s">
        <v>14440</v>
      </c>
      <c r="D161" s="316">
        <v>2024</v>
      </c>
      <c r="F161" s="771" t="s">
        <v>14276</v>
      </c>
      <c r="G161" s="292"/>
      <c r="I161" s="292"/>
    </row>
    <row r="162" spans="1:9">
      <c r="A162" s="779">
        <v>6</v>
      </c>
      <c r="B162" s="771" t="s">
        <v>14441</v>
      </c>
      <c r="C162" s="292" t="s">
        <v>14442</v>
      </c>
      <c r="D162" s="316">
        <v>3920</v>
      </c>
      <c r="F162" s="771" t="s">
        <v>14287</v>
      </c>
      <c r="G162" s="292"/>
      <c r="I162" s="292"/>
    </row>
    <row r="163" spans="1:9">
      <c r="A163" s="779">
        <v>7</v>
      </c>
      <c r="B163" s="771" t="s">
        <v>14443</v>
      </c>
      <c r="C163" s="292" t="s">
        <v>14444</v>
      </c>
      <c r="D163" s="316">
        <v>3705</v>
      </c>
      <c r="F163" s="771" t="s">
        <v>14285</v>
      </c>
      <c r="G163" s="292"/>
      <c r="I163" s="292"/>
    </row>
    <row r="164" spans="1:9">
      <c r="A164" s="779">
        <v>8</v>
      </c>
      <c r="B164" s="771" t="s">
        <v>14445</v>
      </c>
      <c r="C164" s="292" t="s">
        <v>14446</v>
      </c>
      <c r="D164" s="316">
        <v>2036</v>
      </c>
      <c r="F164" s="771" t="s">
        <v>14287</v>
      </c>
      <c r="G164" s="292"/>
      <c r="I164" s="292"/>
    </row>
    <row r="165" spans="1:9">
      <c r="A165" s="779">
        <v>9</v>
      </c>
      <c r="B165" s="771" t="s">
        <v>14447</v>
      </c>
      <c r="C165" s="292" t="s">
        <v>14448</v>
      </c>
      <c r="D165" s="316">
        <v>3884</v>
      </c>
      <c r="F165" s="771" t="s">
        <v>14276</v>
      </c>
      <c r="G165" s="292"/>
      <c r="I165" s="292"/>
    </row>
    <row r="166" spans="1:9">
      <c r="A166" s="779">
        <v>10</v>
      </c>
      <c r="B166" s="771" t="s">
        <v>14449</v>
      </c>
      <c r="C166" s="292" t="s">
        <v>14450</v>
      </c>
      <c r="D166" s="316">
        <v>3312</v>
      </c>
      <c r="F166" s="771" t="s">
        <v>14285</v>
      </c>
      <c r="G166" s="292"/>
      <c r="I166" s="292"/>
    </row>
    <row r="167" spans="1:9">
      <c r="A167" s="779">
        <v>11</v>
      </c>
      <c r="B167" s="771" t="s">
        <v>458</v>
      </c>
      <c r="C167" s="292" t="s">
        <v>14451</v>
      </c>
      <c r="D167" s="316">
        <v>2984</v>
      </c>
      <c r="F167" s="771" t="s">
        <v>14276</v>
      </c>
      <c r="G167" s="292"/>
      <c r="I167" s="292"/>
    </row>
    <row r="168" spans="1:9">
      <c r="A168" s="779">
        <v>12</v>
      </c>
      <c r="B168" s="771" t="s">
        <v>14452</v>
      </c>
      <c r="C168" s="292" t="s">
        <v>14453</v>
      </c>
      <c r="D168" s="316">
        <v>3752</v>
      </c>
      <c r="F168" s="771" t="s">
        <v>14287</v>
      </c>
      <c r="G168" s="292"/>
      <c r="I168" s="292"/>
    </row>
    <row r="169" spans="1:9">
      <c r="A169" s="779">
        <v>13</v>
      </c>
      <c r="B169" s="771" t="s">
        <v>14454</v>
      </c>
      <c r="C169" s="292" t="s">
        <v>14455</v>
      </c>
      <c r="D169" s="316">
        <v>3317</v>
      </c>
      <c r="F169" s="771" t="s">
        <v>14285</v>
      </c>
      <c r="G169" s="292"/>
      <c r="I169" s="292"/>
    </row>
    <row r="170" spans="1:9">
      <c r="A170" s="779">
        <v>14</v>
      </c>
      <c r="B170" s="771" t="s">
        <v>14456</v>
      </c>
      <c r="C170" s="292" t="s">
        <v>14457</v>
      </c>
      <c r="D170" s="316">
        <v>3653</v>
      </c>
      <c r="F170" s="771" t="s">
        <v>14276</v>
      </c>
      <c r="G170" s="292"/>
      <c r="I170" s="292"/>
    </row>
    <row r="171" spans="1:9">
      <c r="A171" s="779">
        <v>15</v>
      </c>
      <c r="B171" s="771" t="s">
        <v>14458</v>
      </c>
      <c r="C171" s="292" t="s">
        <v>14459</v>
      </c>
      <c r="D171" s="316">
        <v>3779</v>
      </c>
      <c r="F171" s="771" t="s">
        <v>14276</v>
      </c>
      <c r="G171" s="292"/>
      <c r="I171" s="292"/>
    </row>
    <row r="172" spans="1:9">
      <c r="A172" s="779">
        <v>16</v>
      </c>
      <c r="B172" s="771" t="s">
        <v>13492</v>
      </c>
      <c r="C172" s="292" t="s">
        <v>14460</v>
      </c>
      <c r="D172" s="316">
        <v>3707</v>
      </c>
      <c r="F172" s="771" t="s">
        <v>14276</v>
      </c>
      <c r="G172" s="292"/>
      <c r="I172" s="292"/>
    </row>
    <row r="173" spans="1:9">
      <c r="A173" s="779">
        <v>17</v>
      </c>
      <c r="B173" s="771" t="s">
        <v>14461</v>
      </c>
      <c r="C173" s="292" t="s">
        <v>14462</v>
      </c>
      <c r="D173" s="316">
        <v>3693</v>
      </c>
      <c r="F173" s="771" t="s">
        <v>14276</v>
      </c>
      <c r="G173" s="292"/>
      <c r="I173" s="292"/>
    </row>
    <row r="174" spans="1:9">
      <c r="A174" s="779">
        <v>18</v>
      </c>
      <c r="B174" s="771" t="s">
        <v>14463</v>
      </c>
      <c r="C174" s="292" t="s">
        <v>14464</v>
      </c>
      <c r="D174" s="316">
        <v>3417</v>
      </c>
      <c r="F174" s="771" t="s">
        <v>14287</v>
      </c>
      <c r="G174" s="292"/>
      <c r="I174" s="292"/>
    </row>
    <row r="175" spans="1:9">
      <c r="A175" s="779">
        <v>19</v>
      </c>
      <c r="B175" s="771" t="s">
        <v>14465</v>
      </c>
      <c r="C175" s="292" t="s">
        <v>14466</v>
      </c>
      <c r="D175" s="316">
        <v>3937</v>
      </c>
      <c r="F175" s="771" t="s">
        <v>14276</v>
      </c>
      <c r="G175" s="292"/>
      <c r="I175" s="292"/>
    </row>
    <row r="176" spans="1:9">
      <c r="A176" s="779">
        <v>20</v>
      </c>
      <c r="B176" s="771" t="s">
        <v>14467</v>
      </c>
      <c r="C176" s="292" t="s">
        <v>14468</v>
      </c>
      <c r="D176" s="316">
        <v>3410</v>
      </c>
      <c r="F176" s="771" t="s">
        <v>14287</v>
      </c>
      <c r="G176" s="292"/>
      <c r="I176" s="292"/>
    </row>
    <row r="177" spans="1:9">
      <c r="D177" s="776"/>
    </row>
    <row r="178" spans="1:9">
      <c r="A178" s="771" t="s">
        <v>14469</v>
      </c>
      <c r="D178" s="774">
        <f>D157+SUM(D159:D161)+D165+D167+SUM(D170:D173)+D175</f>
        <v>39124</v>
      </c>
    </row>
    <row r="179" spans="1:9">
      <c r="A179" s="771" t="s">
        <v>14384</v>
      </c>
      <c r="D179" s="774">
        <f>D158+D163+D166+D169</f>
        <v>14282</v>
      </c>
    </row>
    <row r="180" spans="1:9">
      <c r="A180" s="771" t="s">
        <v>14470</v>
      </c>
      <c r="D180" s="774">
        <f>D162+D164+D168+D174+D176</f>
        <v>16535</v>
      </c>
    </row>
    <row r="181" spans="1:9">
      <c r="A181" s="771"/>
      <c r="D181" s="774"/>
    </row>
    <row r="182" spans="1:9">
      <c r="A182" s="771" t="s">
        <v>14471</v>
      </c>
      <c r="D182" s="774"/>
    </row>
    <row r="183" spans="1:9">
      <c r="A183" s="771"/>
      <c r="B183" s="771"/>
      <c r="D183" s="780"/>
    </row>
    <row r="184" spans="1:9">
      <c r="A184" s="771"/>
      <c r="B184" s="771"/>
      <c r="D184" s="780"/>
    </row>
    <row r="185" spans="1:9">
      <c r="D185" s="10" t="s">
        <v>285</v>
      </c>
      <c r="E185" s="16"/>
      <c r="F185" s="5" t="s">
        <v>4116</v>
      </c>
    </row>
    <row r="186" spans="1:9">
      <c r="D186" s="15">
        <v>2016</v>
      </c>
      <c r="F186" s="18" t="s">
        <v>286</v>
      </c>
    </row>
    <row r="187" spans="1:9">
      <c r="A187" s="771" t="s">
        <v>14472</v>
      </c>
      <c r="D187" s="774">
        <f>SUM(D188:D222)</f>
        <v>116583</v>
      </c>
    </row>
    <row r="188" spans="1:9">
      <c r="A188" s="779">
        <v>1</v>
      </c>
      <c r="B188" s="771" t="s">
        <v>14473</v>
      </c>
      <c r="C188" s="292" t="s">
        <v>14474</v>
      </c>
      <c r="D188" s="293">
        <v>1942</v>
      </c>
      <c r="F188" s="771" t="s">
        <v>14286</v>
      </c>
      <c r="G188" s="781"/>
      <c r="I188" s="292"/>
    </row>
    <row r="189" spans="1:9">
      <c r="A189" s="779">
        <v>2</v>
      </c>
      <c r="B189" s="771" t="s">
        <v>14475</v>
      </c>
      <c r="C189" s="292" t="s">
        <v>14476</v>
      </c>
      <c r="D189" s="293">
        <v>4723</v>
      </c>
      <c r="E189" s="782"/>
      <c r="F189" s="771" t="s">
        <v>14286</v>
      </c>
      <c r="G189" s="781"/>
      <c r="I189" s="292"/>
    </row>
    <row r="190" spans="1:9">
      <c r="A190" s="779">
        <v>3</v>
      </c>
      <c r="B190" s="771" t="s">
        <v>14477</v>
      </c>
      <c r="C190" s="292" t="s">
        <v>14478</v>
      </c>
      <c r="D190" s="293">
        <v>2421</v>
      </c>
      <c r="E190" s="782"/>
      <c r="F190" s="771" t="s">
        <v>14286</v>
      </c>
      <c r="G190" s="781"/>
      <c r="I190" s="292"/>
    </row>
    <row r="191" spans="1:9">
      <c r="A191" s="779">
        <v>4</v>
      </c>
      <c r="B191" s="771" t="s">
        <v>14479</v>
      </c>
      <c r="C191" s="292" t="s">
        <v>14480</v>
      </c>
      <c r="D191" s="293">
        <v>1975</v>
      </c>
      <c r="E191" s="782"/>
      <c r="F191" s="771" t="s">
        <v>14276</v>
      </c>
      <c r="G191" s="781"/>
      <c r="I191" s="292"/>
    </row>
    <row r="192" spans="1:9">
      <c r="A192" s="779">
        <v>5</v>
      </c>
      <c r="B192" s="771" t="s">
        <v>14481</v>
      </c>
      <c r="C192" s="292" t="s">
        <v>14482</v>
      </c>
      <c r="D192" s="293">
        <v>3830</v>
      </c>
      <c r="E192" s="782"/>
      <c r="F192" s="771" t="s">
        <v>14287</v>
      </c>
      <c r="G192" s="781"/>
      <c r="I192" s="292"/>
    </row>
    <row r="193" spans="1:9">
      <c r="A193" s="779">
        <v>6</v>
      </c>
      <c r="B193" s="771" t="s">
        <v>14483</v>
      </c>
      <c r="C193" s="292" t="s">
        <v>14484</v>
      </c>
      <c r="D193" s="295">
        <v>1883</v>
      </c>
      <c r="E193" s="782"/>
      <c r="F193" s="771" t="s">
        <v>14287</v>
      </c>
      <c r="G193" s="783"/>
      <c r="I193" s="292"/>
    </row>
    <row r="194" spans="1:9">
      <c r="A194" s="779">
        <v>7</v>
      </c>
      <c r="B194" s="771" t="s">
        <v>14485</v>
      </c>
      <c r="C194" s="292" t="s">
        <v>14486</v>
      </c>
      <c r="D194" s="295">
        <v>4430</v>
      </c>
      <c r="E194" s="782"/>
      <c r="F194" s="771" t="s">
        <v>14287</v>
      </c>
      <c r="G194" s="783"/>
      <c r="I194" s="292"/>
    </row>
    <row r="195" spans="1:9">
      <c r="A195" s="779">
        <v>8</v>
      </c>
      <c r="B195" s="771" t="s">
        <v>14487</v>
      </c>
      <c r="C195" s="292" t="s">
        <v>14488</v>
      </c>
      <c r="D195" s="295">
        <v>2021</v>
      </c>
      <c r="E195" s="782"/>
      <c r="F195" s="771" t="s">
        <v>14287</v>
      </c>
      <c r="G195" s="783"/>
      <c r="I195" s="292"/>
    </row>
    <row r="196" spans="1:9">
      <c r="A196" s="779">
        <v>9</v>
      </c>
      <c r="B196" s="771" t="s">
        <v>14489</v>
      </c>
      <c r="C196" s="292" t="s">
        <v>14490</v>
      </c>
      <c r="D196" s="295">
        <v>3842</v>
      </c>
      <c r="E196" s="782"/>
      <c r="F196" s="771" t="s">
        <v>14287</v>
      </c>
      <c r="G196" s="783"/>
      <c r="I196" s="292"/>
    </row>
    <row r="197" spans="1:9">
      <c r="A197" s="779">
        <v>10</v>
      </c>
      <c r="B197" s="771" t="s">
        <v>14491</v>
      </c>
      <c r="C197" s="292" t="s">
        <v>14492</v>
      </c>
      <c r="D197" s="295">
        <v>3946</v>
      </c>
      <c r="E197" s="782"/>
      <c r="F197" s="771" t="s">
        <v>14286</v>
      </c>
      <c r="G197" s="783"/>
      <c r="I197" s="292"/>
    </row>
    <row r="198" spans="1:9">
      <c r="A198" s="779">
        <v>11</v>
      </c>
      <c r="B198" s="771" t="s">
        <v>14493</v>
      </c>
      <c r="C198" s="292" t="s">
        <v>14494</v>
      </c>
      <c r="D198" s="293">
        <v>1876</v>
      </c>
      <c r="E198" s="782"/>
      <c r="F198" s="771" t="s">
        <v>14286</v>
      </c>
      <c r="G198" s="781"/>
      <c r="I198" s="292"/>
    </row>
    <row r="199" spans="1:9">
      <c r="A199" s="779">
        <v>12</v>
      </c>
      <c r="B199" s="771" t="s">
        <v>14495</v>
      </c>
      <c r="C199" s="292" t="s">
        <v>14496</v>
      </c>
      <c r="D199" s="295">
        <v>3722</v>
      </c>
      <c r="E199" s="782"/>
      <c r="F199" s="771" t="s">
        <v>14286</v>
      </c>
      <c r="G199" s="783"/>
      <c r="I199" s="292"/>
    </row>
    <row r="200" spans="1:9">
      <c r="A200" s="779">
        <v>13</v>
      </c>
      <c r="B200" s="771" t="s">
        <v>14497</v>
      </c>
      <c r="C200" s="292" t="s">
        <v>14498</v>
      </c>
      <c r="D200" s="295">
        <v>2147</v>
      </c>
      <c r="E200" s="782"/>
      <c r="F200" s="771" t="s">
        <v>14286</v>
      </c>
      <c r="G200" s="783"/>
      <c r="I200" s="292"/>
    </row>
    <row r="201" spans="1:9">
      <c r="A201" s="779">
        <v>14</v>
      </c>
      <c r="B201" s="771" t="s">
        <v>14499</v>
      </c>
      <c r="C201" s="292" t="s">
        <v>14500</v>
      </c>
      <c r="D201" s="295">
        <v>3933</v>
      </c>
      <c r="E201" s="782"/>
      <c r="F201" s="771" t="s">
        <v>14287</v>
      </c>
      <c r="G201" s="783"/>
      <c r="I201" s="292"/>
    </row>
    <row r="202" spans="1:9">
      <c r="A202" s="779">
        <v>15</v>
      </c>
      <c r="B202" s="771" t="s">
        <v>14501</v>
      </c>
      <c r="C202" s="292" t="s">
        <v>14502</v>
      </c>
      <c r="D202" s="295">
        <v>4729</v>
      </c>
      <c r="E202" s="782"/>
      <c r="F202" s="771" t="s">
        <v>14276</v>
      </c>
      <c r="G202" s="783"/>
      <c r="I202" s="292"/>
    </row>
    <row r="203" spans="1:9">
      <c r="A203" s="779">
        <v>16</v>
      </c>
      <c r="B203" s="771" t="s">
        <v>14503</v>
      </c>
      <c r="C203" s="292" t="s">
        <v>14504</v>
      </c>
      <c r="D203" s="295">
        <v>1894</v>
      </c>
      <c r="E203" s="782"/>
      <c r="F203" s="771" t="s">
        <v>14276</v>
      </c>
      <c r="G203" s="783"/>
      <c r="I203" s="292"/>
    </row>
    <row r="204" spans="1:9">
      <c r="A204" s="779">
        <v>17</v>
      </c>
      <c r="B204" s="771" t="s">
        <v>14505</v>
      </c>
      <c r="C204" s="292" t="s">
        <v>14506</v>
      </c>
      <c r="D204" s="295">
        <v>6168</v>
      </c>
      <c r="E204" s="782"/>
      <c r="F204" s="771" t="s">
        <v>14276</v>
      </c>
      <c r="G204" s="783"/>
      <c r="I204" s="292"/>
    </row>
    <row r="205" spans="1:9">
      <c r="A205" s="779">
        <v>18</v>
      </c>
      <c r="B205" s="771" t="s">
        <v>14507</v>
      </c>
      <c r="C205" s="292" t="s">
        <v>14508</v>
      </c>
      <c r="D205" s="295">
        <v>2039</v>
      </c>
      <c r="E205" s="782"/>
      <c r="F205" s="771" t="s">
        <v>14286</v>
      </c>
      <c r="G205" s="783"/>
      <c r="I205" s="292"/>
    </row>
    <row r="206" spans="1:9">
      <c r="A206" s="779">
        <v>19</v>
      </c>
      <c r="B206" s="771" t="s">
        <v>14509</v>
      </c>
      <c r="C206" s="292" t="s">
        <v>14510</v>
      </c>
      <c r="D206" s="293">
        <v>1933</v>
      </c>
      <c r="E206" s="782"/>
      <c r="F206" s="771" t="s">
        <v>14276</v>
      </c>
      <c r="G206" s="781"/>
      <c r="I206" s="292"/>
    </row>
    <row r="207" spans="1:9">
      <c r="A207" s="779">
        <v>20</v>
      </c>
      <c r="B207" s="771" t="s">
        <v>14511</v>
      </c>
      <c r="C207" s="292" t="s">
        <v>14512</v>
      </c>
      <c r="D207" s="293">
        <v>6091</v>
      </c>
      <c r="E207" s="782"/>
      <c r="F207" s="771" t="s">
        <v>14276</v>
      </c>
      <c r="G207" s="781"/>
      <c r="I207" s="292"/>
    </row>
    <row r="208" spans="1:9" ht="16.5" customHeight="1">
      <c r="A208" s="779">
        <v>21</v>
      </c>
      <c r="B208" s="771" t="s">
        <v>14513</v>
      </c>
      <c r="C208" s="292" t="s">
        <v>14514</v>
      </c>
      <c r="D208" s="295">
        <v>5555</v>
      </c>
      <c r="E208" s="782"/>
      <c r="F208" s="771" t="s">
        <v>14286</v>
      </c>
      <c r="G208" s="783"/>
      <c r="I208" s="292"/>
    </row>
    <row r="209" spans="1:9">
      <c r="A209" s="779">
        <v>22</v>
      </c>
      <c r="B209" s="771" t="s">
        <v>14515</v>
      </c>
      <c r="C209" s="292" t="s">
        <v>14516</v>
      </c>
      <c r="D209" s="293">
        <v>2209</v>
      </c>
      <c r="E209" s="782"/>
      <c r="F209" s="771" t="s">
        <v>14276</v>
      </c>
      <c r="G209" s="781"/>
      <c r="I209" s="292"/>
    </row>
    <row r="210" spans="1:9">
      <c r="A210" s="779">
        <v>23</v>
      </c>
      <c r="B210" s="771" t="s">
        <v>14517</v>
      </c>
      <c r="C210" s="292" t="s">
        <v>14518</v>
      </c>
      <c r="D210" s="295">
        <v>2064</v>
      </c>
      <c r="E210" s="782"/>
      <c r="F210" s="771" t="s">
        <v>14286</v>
      </c>
      <c r="G210" s="783"/>
      <c r="I210" s="292"/>
    </row>
    <row r="211" spans="1:9">
      <c r="A211" s="779">
        <v>24</v>
      </c>
      <c r="B211" s="771" t="s">
        <v>10283</v>
      </c>
      <c r="C211" s="292" t="s">
        <v>14519</v>
      </c>
      <c r="D211" s="295">
        <v>2122</v>
      </c>
      <c r="E211" s="782"/>
      <c r="F211" s="771" t="s">
        <v>14287</v>
      </c>
      <c r="G211" s="783"/>
      <c r="I211" s="292"/>
    </row>
    <row r="212" spans="1:9">
      <c r="A212" s="779">
        <v>25</v>
      </c>
      <c r="B212" s="771" t="s">
        <v>14520</v>
      </c>
      <c r="C212" s="292" t="s">
        <v>14521</v>
      </c>
      <c r="D212" s="293">
        <v>1914</v>
      </c>
      <c r="E212" s="782"/>
      <c r="F212" s="771" t="s">
        <v>14276</v>
      </c>
      <c r="G212" s="781"/>
      <c r="I212" s="292"/>
    </row>
    <row r="213" spans="1:9">
      <c r="A213" s="779">
        <v>26</v>
      </c>
      <c r="B213" s="771" t="s">
        <v>14522</v>
      </c>
      <c r="C213" s="292" t="s">
        <v>14523</v>
      </c>
      <c r="D213" s="293">
        <v>7437</v>
      </c>
      <c r="E213" s="782"/>
      <c r="F213" s="771" t="s">
        <v>14276</v>
      </c>
      <c r="G213" s="781"/>
      <c r="I213" s="292"/>
    </row>
    <row r="214" spans="1:9">
      <c r="A214" s="779">
        <v>27</v>
      </c>
      <c r="B214" s="771" t="s">
        <v>14524</v>
      </c>
      <c r="C214" s="292" t="s">
        <v>14525</v>
      </c>
      <c r="D214" s="293">
        <v>4510</v>
      </c>
      <c r="F214" s="771" t="s">
        <v>14286</v>
      </c>
      <c r="G214" s="781"/>
    </row>
    <row r="215" spans="1:9">
      <c r="A215" s="779">
        <v>28</v>
      </c>
      <c r="B215" s="771" t="s">
        <v>14526</v>
      </c>
      <c r="C215" s="292" t="s">
        <v>14527</v>
      </c>
      <c r="D215" s="293">
        <v>1988</v>
      </c>
      <c r="F215" s="771" t="s">
        <v>14286</v>
      </c>
      <c r="G215" s="781"/>
      <c r="I215" s="292"/>
    </row>
    <row r="216" spans="1:9">
      <c r="A216" s="779">
        <v>29</v>
      </c>
      <c r="B216" s="771" t="s">
        <v>14528</v>
      </c>
      <c r="C216" s="292" t="s">
        <v>14529</v>
      </c>
      <c r="D216" s="295">
        <v>1924</v>
      </c>
      <c r="F216" s="771" t="s">
        <v>14287</v>
      </c>
      <c r="G216" s="783"/>
      <c r="I216" s="292"/>
    </row>
    <row r="217" spans="1:9">
      <c r="A217" s="779">
        <v>30</v>
      </c>
      <c r="B217" s="771" t="s">
        <v>14530</v>
      </c>
      <c r="C217" s="292" t="s">
        <v>14531</v>
      </c>
      <c r="D217" s="295">
        <v>2272</v>
      </c>
      <c r="F217" s="771" t="s">
        <v>14286</v>
      </c>
      <c r="G217" s="783"/>
      <c r="I217" s="292"/>
    </row>
    <row r="218" spans="1:9">
      <c r="A218" s="779">
        <v>31</v>
      </c>
      <c r="B218" s="771" t="s">
        <v>14532</v>
      </c>
      <c r="C218" s="292" t="s">
        <v>14533</v>
      </c>
      <c r="D218" s="295">
        <v>2006</v>
      </c>
      <c r="F218" s="771" t="s">
        <v>14286</v>
      </c>
      <c r="G218" s="783"/>
      <c r="I218" s="292"/>
    </row>
    <row r="219" spans="1:9">
      <c r="A219" s="779">
        <v>32</v>
      </c>
      <c r="B219" s="771" t="s">
        <v>14534</v>
      </c>
      <c r="C219" s="292" t="s">
        <v>14535</v>
      </c>
      <c r="D219" s="295">
        <v>4212</v>
      </c>
      <c r="F219" s="771" t="s">
        <v>14286</v>
      </c>
      <c r="G219" s="783"/>
      <c r="I219" s="292"/>
    </row>
    <row r="220" spans="1:9">
      <c r="A220" s="779">
        <v>33</v>
      </c>
      <c r="B220" s="771" t="s">
        <v>14536</v>
      </c>
      <c r="C220" s="292" t="s">
        <v>14537</v>
      </c>
      <c r="D220" s="295">
        <v>2743</v>
      </c>
      <c r="F220" s="771" t="s">
        <v>14286</v>
      </c>
      <c r="G220" s="783"/>
      <c r="I220" s="292"/>
    </row>
    <row r="221" spans="1:9">
      <c r="A221" s="779">
        <v>34</v>
      </c>
      <c r="B221" s="771" t="s">
        <v>14538</v>
      </c>
      <c r="C221" s="292" t="s">
        <v>14539</v>
      </c>
      <c r="D221" s="295">
        <v>3918</v>
      </c>
      <c r="F221" s="771" t="s">
        <v>14287</v>
      </c>
      <c r="G221" s="783"/>
      <c r="I221" s="292"/>
    </row>
    <row r="222" spans="1:9">
      <c r="A222" s="784">
        <v>35</v>
      </c>
      <c r="B222" s="771" t="s">
        <v>14540</v>
      </c>
      <c r="C222" s="292" t="s">
        <v>14541</v>
      </c>
      <c r="D222" s="293">
        <v>6164</v>
      </c>
      <c r="F222" s="771" t="s">
        <v>14284</v>
      </c>
      <c r="G222" s="781"/>
      <c r="I222" s="292"/>
    </row>
    <row r="223" spans="1:9">
      <c r="D223" s="776"/>
    </row>
    <row r="224" spans="1:9">
      <c r="A224" s="771" t="s">
        <v>14469</v>
      </c>
      <c r="D224" s="774">
        <f>D191+SUM(D202:D204)+D206+D207+D209+D212+D213</f>
        <v>34350</v>
      </c>
    </row>
    <row r="225" spans="1:4">
      <c r="A225" s="771" t="s">
        <v>14351</v>
      </c>
      <c r="D225" s="774">
        <f>D222</f>
        <v>6164</v>
      </c>
    </row>
    <row r="226" spans="1:4">
      <c r="A226" s="771" t="s">
        <v>14470</v>
      </c>
      <c r="D226" s="774">
        <f>SUM(D192:D196)+D201+D211+D216+D221</f>
        <v>27903</v>
      </c>
    </row>
    <row r="227" spans="1:4">
      <c r="A227" s="771" t="s">
        <v>14542</v>
      </c>
      <c r="D227" s="774">
        <f>SUM(D188:D190)+SUM(D197:D200)+D205+D208+D210+D214+D215+SUM(D217:D220)</f>
        <v>48166</v>
      </c>
    </row>
    <row r="229" spans="1:4">
      <c r="A229" s="771" t="s">
        <v>14543</v>
      </c>
    </row>
    <row r="230" spans="1:4">
      <c r="A230" s="772" t="s">
        <v>14544</v>
      </c>
    </row>
  </sheetData>
  <printOptions gridLinesSet="0"/>
  <pageMargins left="0.78740157480314965" right="0" top="0.51181102362204722" bottom="0.51181102362204722" header="0.51181102362204722" footer="0.51181102362204722"/>
  <pageSetup paperSize="9" scale="68" orientation="portrait" horizontalDpi="300" verticalDpi="300" r:id="rId1"/>
  <headerFooter alignWithMargins="0">
    <oddFooter>&amp;C&amp;"Times New Roman,Regular"&amp;8&amp;P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55"/>
  <sheetViews>
    <sheetView showGridLines="0" topLeftCell="A7" zoomScaleNormal="100" workbookViewId="0"/>
  </sheetViews>
  <sheetFormatPr defaultColWidth="12.59765625" defaultRowHeight="14.5"/>
  <cols>
    <col min="1" max="1" width="4.8984375" style="483" customWidth="1"/>
    <col min="2" max="2" width="36" style="483" customWidth="1"/>
    <col min="3" max="3" width="11.59765625" style="483" customWidth="1"/>
    <col min="4" max="4" width="10" style="483" customWidth="1"/>
    <col min="5" max="5" width="2.296875" style="483" customWidth="1"/>
    <col min="6" max="6" width="29.09765625" style="483" customWidth="1"/>
    <col min="7" max="16384" width="12.59765625" style="483"/>
  </cols>
  <sheetData>
    <row r="1" spans="1:6">
      <c r="A1" s="482" t="s">
        <v>9176</v>
      </c>
      <c r="D1" s="484">
        <v>2016</v>
      </c>
    </row>
    <row r="3" spans="1:6">
      <c r="A3" s="482" t="s">
        <v>9604</v>
      </c>
      <c r="D3" s="485">
        <f t="shared" ref="D3" si="0">SUM(D23:D43)</f>
        <v>192256</v>
      </c>
    </row>
    <row r="5" spans="1:6">
      <c r="A5" s="413" t="s">
        <v>9216</v>
      </c>
      <c r="D5" s="486">
        <f>BARNET!D5</f>
        <v>63048</v>
      </c>
      <c r="F5" s="483" t="s">
        <v>9217</v>
      </c>
    </row>
    <row r="6" spans="1:6" ht="15" thickBot="1">
      <c r="D6" s="487">
        <f>D26</f>
        <v>9532</v>
      </c>
      <c r="F6" s="482" t="s">
        <v>9218</v>
      </c>
    </row>
    <row r="7" spans="1:6" ht="15" thickBot="1">
      <c r="D7" s="488">
        <f>D5+D6</f>
        <v>72580</v>
      </c>
    </row>
    <row r="9" spans="1:6">
      <c r="A9" s="482" t="s">
        <v>9605</v>
      </c>
      <c r="D9" s="485">
        <f>D24+D27+D31+SUM(D33:D36)+D42</f>
        <v>72514</v>
      </c>
      <c r="F9" s="482" t="s">
        <v>9218</v>
      </c>
    </row>
    <row r="10" spans="1:6">
      <c r="D10" s="486"/>
    </row>
    <row r="11" spans="1:6">
      <c r="A11" s="482" t="s">
        <v>9606</v>
      </c>
      <c r="D11" s="485">
        <f>D25+SUM(D28:D30)+D32+D37+D40+D41</f>
        <v>75302</v>
      </c>
      <c r="F11" s="482" t="s">
        <v>9218</v>
      </c>
    </row>
    <row r="12" spans="1:6">
      <c r="D12" s="486"/>
    </row>
    <row r="13" spans="1:6">
      <c r="A13" s="413" t="s">
        <v>9219</v>
      </c>
      <c r="D13" s="486">
        <f>BARNET!D9</f>
        <v>49745</v>
      </c>
      <c r="F13" s="483" t="s">
        <v>9217</v>
      </c>
    </row>
    <row r="14" spans="1:6" ht="15" thickBot="1">
      <c r="D14" s="489">
        <f>D38+D39+D43</f>
        <v>27112</v>
      </c>
      <c r="F14" s="482" t="s">
        <v>9218</v>
      </c>
    </row>
    <row r="15" spans="1:6" ht="15" thickBot="1">
      <c r="D15" s="490">
        <f>D13+D14</f>
        <v>76857</v>
      </c>
      <c r="F15" s="482"/>
    </row>
    <row r="16" spans="1:6">
      <c r="D16" s="486"/>
    </row>
    <row r="17" spans="1:11">
      <c r="A17" s="482" t="s">
        <v>9607</v>
      </c>
      <c r="D17" s="486">
        <f>D23</f>
        <v>7796</v>
      </c>
      <c r="F17" s="482" t="s">
        <v>9218</v>
      </c>
    </row>
    <row r="18" spans="1:11" ht="15" thickBot="1">
      <c r="D18" s="486">
        <f>HARINGEY!D6</f>
        <v>66622</v>
      </c>
      <c r="F18" s="483" t="s">
        <v>9608</v>
      </c>
    </row>
    <row r="19" spans="1:11" ht="15" thickBot="1">
      <c r="D19" s="490">
        <f>D17+D18</f>
        <v>74418</v>
      </c>
    </row>
    <row r="20" spans="1:11">
      <c r="D20" s="486"/>
    </row>
    <row r="21" spans="1:11">
      <c r="A21" s="482" t="s">
        <v>1041</v>
      </c>
      <c r="D21" s="485">
        <f>D6+D9+D11+D14+D17</f>
        <v>192256</v>
      </c>
    </row>
    <row r="22" spans="1:11">
      <c r="D22" s="486"/>
    </row>
    <row r="23" spans="1:11">
      <c r="A23" s="491">
        <v>1</v>
      </c>
      <c r="B23" s="482" t="s">
        <v>9609</v>
      </c>
      <c r="C23" s="292" t="s">
        <v>9610</v>
      </c>
      <c r="D23" s="293">
        <v>7796</v>
      </c>
      <c r="F23" s="482" t="s">
        <v>9607</v>
      </c>
      <c r="I23" s="292"/>
      <c r="K23" s="292"/>
    </row>
    <row r="24" spans="1:11">
      <c r="A24" s="491">
        <v>2</v>
      </c>
      <c r="B24" s="482" t="s">
        <v>9611</v>
      </c>
      <c r="C24" s="292" t="s">
        <v>9612</v>
      </c>
      <c r="D24" s="293">
        <v>9872</v>
      </c>
      <c r="F24" s="482" t="s">
        <v>9605</v>
      </c>
      <c r="I24" s="292"/>
      <c r="K24" s="292"/>
    </row>
    <row r="25" spans="1:11">
      <c r="A25" s="491">
        <v>3</v>
      </c>
      <c r="B25" s="482" t="s">
        <v>3848</v>
      </c>
      <c r="C25" s="292" t="s">
        <v>9613</v>
      </c>
      <c r="D25" s="293">
        <v>9210</v>
      </c>
      <c r="F25" s="482" t="s">
        <v>9606</v>
      </c>
      <c r="I25" s="292"/>
      <c r="K25" s="292"/>
    </row>
    <row r="26" spans="1:11">
      <c r="A26" s="491">
        <v>4</v>
      </c>
      <c r="B26" s="482" t="s">
        <v>9614</v>
      </c>
      <c r="C26" s="292" t="s">
        <v>9615</v>
      </c>
      <c r="D26" s="295">
        <v>9532</v>
      </c>
      <c r="F26" s="413" t="s">
        <v>9216</v>
      </c>
      <c r="I26" s="292"/>
      <c r="K26" s="292"/>
    </row>
    <row r="27" spans="1:11">
      <c r="A27" s="491">
        <v>5</v>
      </c>
      <c r="B27" s="482" t="s">
        <v>9616</v>
      </c>
      <c r="C27" s="292" t="s">
        <v>9617</v>
      </c>
      <c r="D27" s="293">
        <v>9491</v>
      </c>
      <c r="F27" s="482" t="s">
        <v>9605</v>
      </c>
      <c r="I27" s="292"/>
      <c r="K27" s="292"/>
    </row>
    <row r="28" spans="1:11">
      <c r="A28" s="491">
        <v>6</v>
      </c>
      <c r="B28" s="482" t="s">
        <v>9618</v>
      </c>
      <c r="C28" s="292" t="s">
        <v>9619</v>
      </c>
      <c r="D28" s="293">
        <v>9402</v>
      </c>
      <c r="F28" s="482" t="s">
        <v>9606</v>
      </c>
      <c r="I28" s="292"/>
      <c r="K28" s="292"/>
    </row>
    <row r="29" spans="1:11">
      <c r="A29" s="491">
        <v>7</v>
      </c>
      <c r="B29" s="482" t="s">
        <v>9620</v>
      </c>
      <c r="C29" s="292" t="s">
        <v>9621</v>
      </c>
      <c r="D29" s="293">
        <v>9711</v>
      </c>
      <c r="F29" s="482" t="s">
        <v>9606</v>
      </c>
      <c r="I29" s="292"/>
      <c r="K29" s="292"/>
    </row>
    <row r="30" spans="1:11">
      <c r="A30" s="491">
        <v>8</v>
      </c>
      <c r="B30" s="482" t="s">
        <v>1009</v>
      </c>
      <c r="C30" s="292" t="s">
        <v>9622</v>
      </c>
      <c r="D30" s="295">
        <v>9321</v>
      </c>
      <c r="F30" s="482" t="s">
        <v>9606</v>
      </c>
      <c r="I30" s="292"/>
      <c r="K30" s="292"/>
    </row>
    <row r="31" spans="1:11">
      <c r="A31" s="491">
        <v>9</v>
      </c>
      <c r="B31" s="482" t="s">
        <v>9623</v>
      </c>
      <c r="C31" s="292" t="s">
        <v>9624</v>
      </c>
      <c r="D31" s="293">
        <v>8872</v>
      </c>
      <c r="F31" s="482" t="s">
        <v>9605</v>
      </c>
      <c r="I31" s="292"/>
      <c r="K31" s="292"/>
    </row>
    <row r="32" spans="1:11">
      <c r="A32" s="491">
        <v>10</v>
      </c>
      <c r="B32" s="482" t="s">
        <v>9625</v>
      </c>
      <c r="C32" s="292" t="s">
        <v>9626</v>
      </c>
      <c r="D32" s="293">
        <v>9630</v>
      </c>
      <c r="F32" s="482" t="s">
        <v>9606</v>
      </c>
      <c r="I32" s="292"/>
      <c r="K32" s="292"/>
    </row>
    <row r="33" spans="1:11">
      <c r="A33" s="491">
        <v>11</v>
      </c>
      <c r="B33" s="482" t="s">
        <v>9627</v>
      </c>
      <c r="C33" s="292" t="s">
        <v>9628</v>
      </c>
      <c r="D33" s="293">
        <v>8502</v>
      </c>
      <c r="F33" s="482" t="s">
        <v>9605</v>
      </c>
      <c r="I33" s="292"/>
      <c r="K33" s="292"/>
    </row>
    <row r="34" spans="1:11">
      <c r="A34" s="491">
        <v>12</v>
      </c>
      <c r="B34" s="482" t="s">
        <v>9629</v>
      </c>
      <c r="C34" s="292" t="s">
        <v>9630</v>
      </c>
      <c r="D34" s="293">
        <v>8849</v>
      </c>
      <c r="F34" s="482" t="s">
        <v>9605</v>
      </c>
      <c r="I34" s="292"/>
      <c r="K34" s="292"/>
    </row>
    <row r="35" spans="1:11">
      <c r="A35" s="491">
        <v>13</v>
      </c>
      <c r="B35" s="482" t="s">
        <v>9631</v>
      </c>
      <c r="C35" s="292" t="s">
        <v>9632</v>
      </c>
      <c r="D35" s="295">
        <v>9154</v>
      </c>
      <c r="F35" s="482" t="s">
        <v>9605</v>
      </c>
      <c r="I35" s="292"/>
      <c r="K35" s="292"/>
    </row>
    <row r="36" spans="1:11">
      <c r="A36" s="491">
        <v>14</v>
      </c>
      <c r="B36" s="482" t="s">
        <v>9633</v>
      </c>
      <c r="C36" s="292" t="s">
        <v>9634</v>
      </c>
      <c r="D36" s="293">
        <v>8441</v>
      </c>
      <c r="F36" s="482" t="s">
        <v>9605</v>
      </c>
      <c r="I36" s="292"/>
      <c r="K36" s="292"/>
    </row>
    <row r="37" spans="1:11">
      <c r="A37" s="491">
        <v>15</v>
      </c>
      <c r="B37" s="482" t="s">
        <v>9635</v>
      </c>
      <c r="C37" s="292" t="s">
        <v>9636</v>
      </c>
      <c r="D37" s="293">
        <v>8782</v>
      </c>
      <c r="F37" s="482" t="s">
        <v>9606</v>
      </c>
      <c r="I37" s="292"/>
      <c r="K37" s="292"/>
    </row>
    <row r="38" spans="1:11">
      <c r="A38" s="491">
        <v>16</v>
      </c>
      <c r="B38" s="482" t="s">
        <v>9038</v>
      </c>
      <c r="C38" s="292" t="s">
        <v>9637</v>
      </c>
      <c r="D38" s="295">
        <v>9178</v>
      </c>
      <c r="F38" s="413" t="s">
        <v>9219</v>
      </c>
      <c r="I38" s="292"/>
      <c r="K38" s="292"/>
    </row>
    <row r="39" spans="1:11">
      <c r="A39" s="491">
        <v>17</v>
      </c>
      <c r="B39" s="482" t="s">
        <v>9638</v>
      </c>
      <c r="C39" s="292" t="s">
        <v>9639</v>
      </c>
      <c r="D39" s="295">
        <v>8805</v>
      </c>
      <c r="F39" s="413" t="s">
        <v>9219</v>
      </c>
      <c r="I39" s="292"/>
      <c r="K39" s="292"/>
    </row>
    <row r="40" spans="1:11">
      <c r="A40" s="491">
        <v>18</v>
      </c>
      <c r="B40" s="482" t="s">
        <v>2865</v>
      </c>
      <c r="C40" s="292" t="s">
        <v>9640</v>
      </c>
      <c r="D40" s="293">
        <v>10525</v>
      </c>
      <c r="F40" s="482" t="s">
        <v>9606</v>
      </c>
      <c r="I40" s="292"/>
      <c r="K40" s="292"/>
    </row>
    <row r="41" spans="1:11">
      <c r="A41" s="491">
        <v>19</v>
      </c>
      <c r="B41" s="482" t="s">
        <v>9641</v>
      </c>
      <c r="C41" s="292" t="s">
        <v>9642</v>
      </c>
      <c r="D41" s="293">
        <v>8721</v>
      </c>
      <c r="F41" s="482" t="s">
        <v>9606</v>
      </c>
      <c r="I41" s="292"/>
      <c r="K41" s="292"/>
    </row>
    <row r="42" spans="1:11">
      <c r="A42" s="491">
        <v>20</v>
      </c>
      <c r="B42" s="482" t="s">
        <v>9643</v>
      </c>
      <c r="C42" s="292" t="s">
        <v>9644</v>
      </c>
      <c r="D42" s="293">
        <v>9333</v>
      </c>
      <c r="F42" s="482" t="s">
        <v>9605</v>
      </c>
      <c r="I42" s="292"/>
      <c r="K42" s="292"/>
    </row>
    <row r="43" spans="1:11">
      <c r="A43" s="491">
        <v>21</v>
      </c>
      <c r="B43" s="482" t="s">
        <v>9645</v>
      </c>
      <c r="C43" s="292" t="s">
        <v>9646</v>
      </c>
      <c r="D43" s="295">
        <v>9129</v>
      </c>
      <c r="F43" s="413" t="s">
        <v>9219</v>
      </c>
      <c r="I43" s="292"/>
      <c r="K43" s="292"/>
    </row>
    <row r="44" spans="1:11">
      <c r="A44" s="491"/>
      <c r="B44" s="482"/>
      <c r="C44" s="482"/>
      <c r="D44" s="485"/>
      <c r="F44" s="482"/>
    </row>
    <row r="45" spans="1:11">
      <c r="A45" s="491" t="s">
        <v>9647</v>
      </c>
      <c r="B45" s="482"/>
      <c r="C45" s="482"/>
      <c r="D45" s="485"/>
      <c r="F45" s="482"/>
    </row>
    <row r="46" spans="1:11">
      <c r="A46" s="491"/>
      <c r="B46" s="482"/>
      <c r="C46" s="482"/>
      <c r="D46" s="485"/>
      <c r="F46" s="482"/>
    </row>
    <row r="47" spans="1:11">
      <c r="A47" s="491"/>
      <c r="B47" s="482"/>
      <c r="C47" s="482"/>
      <c r="D47" s="485"/>
      <c r="F47" s="482"/>
    </row>
    <row r="48" spans="1:11">
      <c r="A48" s="491"/>
      <c r="B48" s="482"/>
      <c r="C48" s="482"/>
      <c r="D48" s="485"/>
      <c r="F48" s="482"/>
    </row>
    <row r="49" spans="1:6">
      <c r="A49" s="491"/>
      <c r="B49" s="482"/>
      <c r="C49" s="482"/>
      <c r="D49" s="485"/>
      <c r="F49" s="482"/>
    </row>
    <row r="50" spans="1:6">
      <c r="A50" s="491"/>
      <c r="B50" s="482"/>
      <c r="C50" s="482"/>
      <c r="D50" s="485"/>
      <c r="F50" s="482"/>
    </row>
    <row r="51" spans="1:6">
      <c r="A51" s="491"/>
      <c r="B51" s="482"/>
      <c r="C51" s="482"/>
      <c r="D51" s="485"/>
      <c r="F51" s="482"/>
    </row>
    <row r="52" spans="1:6">
      <c r="A52" s="491"/>
      <c r="B52" s="482"/>
      <c r="C52" s="482"/>
      <c r="D52" s="485"/>
      <c r="F52" s="482"/>
    </row>
    <row r="53" spans="1:6">
      <c r="A53" s="491"/>
      <c r="B53" s="482"/>
      <c r="C53" s="482"/>
      <c r="D53" s="485"/>
      <c r="F53" s="482"/>
    </row>
    <row r="54" spans="1:6">
      <c r="A54" s="491"/>
      <c r="B54" s="482"/>
      <c r="C54" s="482"/>
      <c r="D54" s="485"/>
      <c r="F54" s="482"/>
    </row>
    <row r="55" spans="1:6">
      <c r="A55" s="491"/>
      <c r="B55" s="482"/>
      <c r="C55" s="482"/>
      <c r="D55" s="485"/>
      <c r="F55" s="482"/>
    </row>
  </sheetData>
  <printOptions gridLinesSet="0"/>
  <pageMargins left="0.78740157480314965" right="0" top="0.51181102362204722" bottom="0.51181102362204722" header="0.51181102362204722" footer="0.51181102362204722"/>
  <pageSetup paperSize="9" scale="80" orientation="portrait" horizontalDpi="300" verticalDpi="300" r:id="rId1"/>
  <headerFooter alignWithMargins="0">
    <oddFooter>&amp;C&amp;"Times New Roman,Regular"&amp;8&amp;P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525"/>
  <sheetViews>
    <sheetView showGridLines="0" zoomScaleNormal="100" zoomScaleSheetLayoutView="75" workbookViewId="0"/>
  </sheetViews>
  <sheetFormatPr defaultColWidth="12.59765625" defaultRowHeight="14.5"/>
  <cols>
    <col min="1" max="1" width="4.8984375" style="351" customWidth="1"/>
    <col min="2" max="2" width="49.59765625" style="351" customWidth="1"/>
    <col min="3" max="3" width="11.59765625" style="351" customWidth="1"/>
    <col min="4" max="4" width="10" style="351" customWidth="1"/>
    <col min="5" max="5" width="2.296875" style="351" customWidth="1"/>
    <col min="6" max="6" width="40.69921875" style="351" customWidth="1"/>
    <col min="7" max="7" width="12.59765625" style="351" customWidth="1"/>
    <col min="8" max="16384" width="12.59765625" style="351"/>
  </cols>
  <sheetData>
    <row r="1" spans="1:6">
      <c r="A1" s="350" t="s">
        <v>1075</v>
      </c>
      <c r="D1" s="352">
        <v>2016</v>
      </c>
    </row>
    <row r="3" spans="1:6">
      <c r="A3" s="350" t="s">
        <v>7311</v>
      </c>
      <c r="C3" s="350"/>
      <c r="D3" s="353">
        <f t="shared" ref="D3" si="0">SUM(D8:D19)</f>
        <v>1044636</v>
      </c>
    </row>
    <row r="4" spans="1:6">
      <c r="A4" s="350" t="s">
        <v>7312</v>
      </c>
      <c r="C4" s="350"/>
      <c r="D4" s="353">
        <f t="shared" ref="D4" si="1">D88</f>
        <v>123050</v>
      </c>
    </row>
    <row r="5" spans="1:6" ht="15" thickBot="1">
      <c r="A5" s="350" t="s">
        <v>7313</v>
      </c>
      <c r="C5" s="350"/>
      <c r="D5" s="354">
        <f t="shared" ref="D5" si="2">D115</f>
        <v>106911</v>
      </c>
    </row>
    <row r="6" spans="1:6" ht="15" thickBot="1">
      <c r="D6" s="354">
        <f t="shared" ref="D6" si="3">SUM(D3:D5)</f>
        <v>1274597</v>
      </c>
    </row>
    <row r="7" spans="1:6">
      <c r="D7" s="355"/>
    </row>
    <row r="8" spans="1:6">
      <c r="A8" s="350" t="s">
        <v>7314</v>
      </c>
      <c r="C8" s="350"/>
      <c r="D8" s="353">
        <f t="shared" ref="D8" si="4">D145</f>
        <v>126526</v>
      </c>
      <c r="F8" s="356"/>
    </row>
    <row r="9" spans="1:6">
      <c r="A9" s="350" t="s">
        <v>7315</v>
      </c>
      <c r="C9" s="350"/>
      <c r="D9" s="353">
        <f t="shared" ref="D9" si="5">D173</f>
        <v>108866</v>
      </c>
      <c r="F9" s="356"/>
    </row>
    <row r="10" spans="1:6">
      <c r="A10" s="350" t="s">
        <v>7316</v>
      </c>
      <c r="C10" s="350"/>
      <c r="D10" s="353">
        <f t="shared" ref="D10" si="6">D210</f>
        <v>56445</v>
      </c>
      <c r="F10" s="356"/>
    </row>
    <row r="11" spans="1:6">
      <c r="A11" s="350" t="s">
        <v>7317</v>
      </c>
      <c r="C11" s="350"/>
      <c r="D11" s="353">
        <f t="shared" ref="D11" si="7">D235</f>
        <v>67541</v>
      </c>
      <c r="F11" s="356"/>
    </row>
    <row r="12" spans="1:6">
      <c r="A12" s="350" t="s">
        <v>7318</v>
      </c>
      <c r="C12" s="350"/>
      <c r="D12" s="353">
        <f t="shared" ref="D12" si="8">D259</f>
        <v>127528</v>
      </c>
      <c r="F12" s="356"/>
    </row>
    <row r="13" spans="1:6">
      <c r="A13" s="350" t="s">
        <v>7319</v>
      </c>
      <c r="C13" s="350"/>
      <c r="D13" s="353">
        <f>D297</f>
        <v>120001</v>
      </c>
      <c r="F13" s="356"/>
    </row>
    <row r="14" spans="1:6">
      <c r="A14" s="350" t="s">
        <v>7320</v>
      </c>
      <c r="C14" s="350"/>
      <c r="D14" s="353">
        <f t="shared" ref="D14" si="9">D334</f>
        <v>97897</v>
      </c>
      <c r="F14" s="356"/>
    </row>
    <row r="15" spans="1:6">
      <c r="A15" s="350" t="s">
        <v>7321</v>
      </c>
      <c r="C15" s="350"/>
      <c r="D15" s="353">
        <f t="shared" ref="D15" si="10">D378</f>
        <v>57532</v>
      </c>
      <c r="F15" s="356"/>
    </row>
    <row r="16" spans="1:6">
      <c r="A16" s="350" t="s">
        <v>7322</v>
      </c>
      <c r="C16" s="350"/>
      <c r="D16" s="353">
        <f t="shared" ref="D16" si="11">D398</f>
        <v>47312</v>
      </c>
      <c r="F16" s="356"/>
    </row>
    <row r="17" spans="1:6">
      <c r="A17" s="350" t="s">
        <v>7323</v>
      </c>
      <c r="C17" s="350"/>
      <c r="D17" s="353">
        <f t="shared" ref="D17" si="12">D425</f>
        <v>64466</v>
      </c>
      <c r="F17" s="356"/>
    </row>
    <row r="18" spans="1:6">
      <c r="A18" s="350" t="s">
        <v>7324</v>
      </c>
      <c r="C18" s="350"/>
      <c r="D18" s="353">
        <f t="shared" ref="D18" si="13">D454</f>
        <v>108820</v>
      </c>
      <c r="F18" s="356"/>
    </row>
    <row r="19" spans="1:6">
      <c r="A19" s="350" t="s">
        <v>7325</v>
      </c>
      <c r="C19" s="350"/>
      <c r="D19" s="353">
        <f t="shared" ref="D19" si="14">D499</f>
        <v>61702</v>
      </c>
      <c r="F19" s="356"/>
    </row>
    <row r="21" spans="1:6">
      <c r="A21" s="350" t="s">
        <v>7326</v>
      </c>
      <c r="D21" s="353">
        <f t="shared" ref="D21" si="15">D163</f>
        <v>69938</v>
      </c>
      <c r="F21" s="350" t="s">
        <v>7327</v>
      </c>
    </row>
    <row r="22" spans="1:6" ht="15" thickBot="1">
      <c r="A22" s="350"/>
      <c r="D22" s="354">
        <f>D285</f>
        <v>4472</v>
      </c>
      <c r="F22" s="351" t="s">
        <v>7328</v>
      </c>
    </row>
    <row r="23" spans="1:6" ht="15" thickBot="1">
      <c r="A23" s="350"/>
      <c r="D23" s="354">
        <f>D21+D22</f>
        <v>74410</v>
      </c>
      <c r="F23" s="350"/>
    </row>
    <row r="24" spans="1:6">
      <c r="D24" s="355"/>
    </row>
    <row r="25" spans="1:6">
      <c r="A25" s="350" t="s">
        <v>7329</v>
      </c>
      <c r="D25" s="353">
        <f t="shared" ref="D25" si="16">D201</f>
        <v>75132</v>
      </c>
      <c r="F25" s="350" t="s">
        <v>7330</v>
      </c>
    </row>
    <row r="26" spans="1:6">
      <c r="D26" s="355"/>
    </row>
    <row r="27" spans="1:6">
      <c r="A27" s="350" t="s">
        <v>7331</v>
      </c>
      <c r="D27" s="353">
        <f t="shared" ref="D27" si="17">D227</f>
        <v>48970</v>
      </c>
      <c r="F27" s="350" t="s">
        <v>7332</v>
      </c>
    </row>
    <row r="28" spans="1:6">
      <c r="A28" s="350"/>
      <c r="D28" s="353">
        <f>D286</f>
        <v>17390</v>
      </c>
      <c r="F28" s="351" t="s">
        <v>7328</v>
      </c>
    </row>
    <row r="29" spans="1:6" ht="15" thickBot="1">
      <c r="D29" s="354">
        <f t="shared" ref="D29" si="18">D368</f>
        <v>10449</v>
      </c>
      <c r="F29" s="350" t="s">
        <v>7333</v>
      </c>
    </row>
    <row r="30" spans="1:6" ht="15" thickBot="1">
      <c r="D30" s="354">
        <f t="shared" ref="D30" si="19">SUM(D27:D29)</f>
        <v>76809</v>
      </c>
    </row>
    <row r="31" spans="1:6" ht="15" customHeight="1">
      <c r="D31" s="355"/>
    </row>
    <row r="32" spans="1:6" ht="15" customHeight="1">
      <c r="A32" s="350" t="s">
        <v>7334</v>
      </c>
      <c r="D32" s="355">
        <f>D164</f>
        <v>17369</v>
      </c>
      <c r="F32" s="350" t="s">
        <v>7327</v>
      </c>
    </row>
    <row r="33" spans="1:6" ht="15" customHeight="1" thickBot="1">
      <c r="D33" s="354">
        <f t="shared" ref="D33" si="20">D251</f>
        <v>57761</v>
      </c>
      <c r="F33" s="350" t="s">
        <v>7335</v>
      </c>
    </row>
    <row r="34" spans="1:6" ht="15" customHeight="1" thickBot="1">
      <c r="A34" s="350"/>
      <c r="D34" s="354">
        <f>D32+D33</f>
        <v>75130</v>
      </c>
      <c r="F34" s="350"/>
    </row>
    <row r="35" spans="1:6" ht="15" customHeight="1">
      <c r="D35" s="355"/>
    </row>
    <row r="36" spans="1:6">
      <c r="A36" s="351" t="s">
        <v>7336</v>
      </c>
      <c r="D36" s="355">
        <f t="shared" ref="D36" si="21">D287</f>
        <v>78107</v>
      </c>
      <c r="F36" s="351" t="s">
        <v>7328</v>
      </c>
    </row>
    <row r="37" spans="1:6">
      <c r="D37" s="355"/>
    </row>
    <row r="38" spans="1:6">
      <c r="A38" s="350" t="s">
        <v>7337</v>
      </c>
      <c r="D38" s="353">
        <f>D326</f>
        <v>74140</v>
      </c>
      <c r="F38" s="350" t="s">
        <v>7338</v>
      </c>
    </row>
    <row r="39" spans="1:6">
      <c r="A39" s="350"/>
      <c r="D39" s="353"/>
      <c r="F39" s="350"/>
    </row>
    <row r="40" spans="1:6">
      <c r="A40" s="350" t="s">
        <v>7339</v>
      </c>
      <c r="D40" s="353">
        <f t="shared" ref="D40" si="22">D369</f>
        <v>73521</v>
      </c>
      <c r="F40" s="350" t="s">
        <v>7333</v>
      </c>
    </row>
    <row r="41" spans="1:6">
      <c r="D41" s="355"/>
    </row>
    <row r="42" spans="1:6" ht="15" customHeight="1">
      <c r="A42" s="350" t="s">
        <v>7340</v>
      </c>
      <c r="D42" s="353">
        <f t="shared" ref="D42" si="23">D370</f>
        <v>13927</v>
      </c>
      <c r="F42" s="350" t="s">
        <v>7333</v>
      </c>
    </row>
    <row r="43" spans="1:6" ht="15" thickBot="1">
      <c r="D43" s="354">
        <f t="shared" ref="D43" si="24">D391</f>
        <v>57532</v>
      </c>
      <c r="F43" s="350" t="s">
        <v>6782</v>
      </c>
    </row>
    <row r="44" spans="1:6" ht="15" thickBot="1">
      <c r="D44" s="354">
        <f>D42+D43</f>
        <v>71459</v>
      </c>
    </row>
    <row r="45" spans="1:6">
      <c r="D45" s="357"/>
    </row>
    <row r="46" spans="1:6">
      <c r="A46" s="351" t="s">
        <v>7341</v>
      </c>
      <c r="D46" s="355">
        <f>D491</f>
        <v>77007</v>
      </c>
      <c r="F46" s="351" t="s">
        <v>7342</v>
      </c>
    </row>
    <row r="47" spans="1:6">
      <c r="D47" s="355"/>
    </row>
    <row r="48" spans="1:6">
      <c r="A48" s="350" t="s">
        <v>7343</v>
      </c>
      <c r="D48" s="353">
        <f>D327</f>
        <v>45861</v>
      </c>
      <c r="F48" s="350" t="s">
        <v>7338</v>
      </c>
    </row>
    <row r="49" spans="1:6" ht="15" thickBot="1">
      <c r="A49" s="350"/>
      <c r="D49" s="354">
        <f t="shared" ref="D49" si="25">D492</f>
        <v>31813</v>
      </c>
      <c r="F49" s="350" t="s">
        <v>7342</v>
      </c>
    </row>
    <row r="50" spans="1:6" ht="15" thickBot="1">
      <c r="A50" s="350"/>
      <c r="D50" s="358">
        <f t="shared" ref="D50" si="26">D48+D49</f>
        <v>77674</v>
      </c>
      <c r="F50" s="350"/>
    </row>
    <row r="51" spans="1:6">
      <c r="D51" s="355"/>
    </row>
    <row r="52" spans="1:6">
      <c r="A52" s="350" t="s">
        <v>7344</v>
      </c>
      <c r="D52" s="353">
        <f>D288</f>
        <v>20946</v>
      </c>
      <c r="F52" s="350" t="s">
        <v>7328</v>
      </c>
    </row>
    <row r="53" spans="1:6">
      <c r="D53" s="355">
        <f>D417</f>
        <v>2642</v>
      </c>
      <c r="F53" s="350" t="s">
        <v>7345</v>
      </c>
    </row>
    <row r="54" spans="1:6" ht="15" thickBot="1">
      <c r="D54" s="354">
        <f t="shared" ref="D54" si="27">D446</f>
        <v>49594</v>
      </c>
      <c r="F54" s="350" t="s">
        <v>7346</v>
      </c>
    </row>
    <row r="55" spans="1:6" ht="15" thickBot="1">
      <c r="D55" s="358">
        <f>SUM(D52:D54)</f>
        <v>73182</v>
      </c>
    </row>
    <row r="56" spans="1:6">
      <c r="D56" s="355"/>
    </row>
    <row r="57" spans="1:6">
      <c r="A57" s="350" t="s">
        <v>7347</v>
      </c>
      <c r="D57" s="353">
        <f t="shared" ref="D57" si="28">D447</f>
        <v>14872</v>
      </c>
      <c r="F57" s="350" t="s">
        <v>7346</v>
      </c>
    </row>
    <row r="58" spans="1:6" ht="15" thickBot="1">
      <c r="D58" s="354">
        <f t="shared" ref="D58" si="29">D107</f>
        <v>58098</v>
      </c>
      <c r="F58" s="350" t="s">
        <v>7348</v>
      </c>
    </row>
    <row r="59" spans="1:6" ht="15" thickBot="1">
      <c r="D59" s="358">
        <f t="shared" ref="D59" si="30">D57+D58</f>
        <v>72970</v>
      </c>
    </row>
    <row r="60" spans="1:6">
      <c r="D60" s="357"/>
    </row>
    <row r="61" spans="1:6">
      <c r="A61" s="350" t="s">
        <v>7349</v>
      </c>
      <c r="D61" s="353">
        <f>D202</f>
        <v>11078</v>
      </c>
      <c r="F61" s="350" t="s">
        <v>7330</v>
      </c>
    </row>
    <row r="62" spans="1:6" ht="15" thickBot="1">
      <c r="D62" s="354">
        <f t="shared" ref="D62" si="31">D523</f>
        <v>61702</v>
      </c>
      <c r="F62" s="350" t="s">
        <v>6786</v>
      </c>
    </row>
    <row r="63" spans="1:6" ht="15" thickBot="1">
      <c r="D63" s="358">
        <f t="shared" ref="D63" si="32">D61+D62</f>
        <v>72780</v>
      </c>
    </row>
    <row r="64" spans="1:6">
      <c r="D64" s="355"/>
    </row>
    <row r="65" spans="1:6">
      <c r="A65" s="350" t="s">
        <v>7350</v>
      </c>
      <c r="D65" s="353">
        <f t="shared" ref="D65" si="33">D165</f>
        <v>39219</v>
      </c>
      <c r="F65" s="350" t="s">
        <v>7327</v>
      </c>
    </row>
    <row r="66" spans="1:6">
      <c r="A66" s="350"/>
      <c r="D66" s="353">
        <f>D228</f>
        <v>7475</v>
      </c>
      <c r="F66" s="350" t="s">
        <v>7332</v>
      </c>
    </row>
    <row r="67" spans="1:6" ht="15" thickBot="1">
      <c r="A67" s="350"/>
      <c r="D67" s="354">
        <f t="shared" ref="D67" si="34">D137</f>
        <v>30976</v>
      </c>
      <c r="F67" s="350" t="s">
        <v>7351</v>
      </c>
    </row>
    <row r="68" spans="1:6" ht="15" thickBot="1">
      <c r="A68" s="350"/>
      <c r="D68" s="358">
        <f>SUM(D65:D67)</f>
        <v>77670</v>
      </c>
      <c r="F68" s="350"/>
    </row>
    <row r="69" spans="1:6">
      <c r="D69" s="355"/>
    </row>
    <row r="70" spans="1:6">
      <c r="A70" s="350" t="s">
        <v>7352</v>
      </c>
      <c r="D70" s="355">
        <f>D252</f>
        <v>9780</v>
      </c>
      <c r="F70" s="350" t="s">
        <v>7335</v>
      </c>
    </row>
    <row r="71" spans="1:6" ht="15" thickBot="1">
      <c r="D71" s="353">
        <f t="shared" ref="D71" si="35">D108</f>
        <v>64952</v>
      </c>
      <c r="F71" s="350" t="s">
        <v>7348</v>
      </c>
    </row>
    <row r="72" spans="1:6" ht="15" thickBot="1">
      <c r="A72" s="350"/>
      <c r="D72" s="358">
        <f t="shared" ref="D72" si="36">D70+D71</f>
        <v>74732</v>
      </c>
      <c r="F72" s="350"/>
    </row>
    <row r="73" spans="1:6">
      <c r="D73" s="355"/>
    </row>
    <row r="74" spans="1:6">
      <c r="A74" s="350" t="s">
        <v>7353</v>
      </c>
      <c r="D74" s="353">
        <f t="shared" ref="D74" si="37">D138</f>
        <v>75935</v>
      </c>
      <c r="F74" s="350" t="s">
        <v>7351</v>
      </c>
    </row>
    <row r="75" spans="1:6">
      <c r="D75" s="355"/>
    </row>
    <row r="76" spans="1:6">
      <c r="A76" s="350" t="s">
        <v>7354</v>
      </c>
      <c r="D76" s="353">
        <f t="shared" ref="D76" si="38">D203</f>
        <v>22656</v>
      </c>
      <c r="F76" s="350" t="s">
        <v>7330</v>
      </c>
    </row>
    <row r="77" spans="1:6">
      <c r="A77" s="350"/>
      <c r="D77" s="353">
        <f>D289</f>
        <v>6613</v>
      </c>
      <c r="F77" s="350" t="s">
        <v>7328</v>
      </c>
    </row>
    <row r="78" spans="1:6" ht="15" thickBot="1">
      <c r="A78" s="350"/>
      <c r="D78" s="354">
        <f t="shared" ref="D78" si="39">D418</f>
        <v>44670</v>
      </c>
      <c r="F78" s="350" t="s">
        <v>7345</v>
      </c>
    </row>
    <row r="79" spans="1:6" ht="15" thickBot="1">
      <c r="A79" s="350"/>
      <c r="D79" s="358">
        <f t="shared" ref="D79" si="40">SUM(D76:D78)</f>
        <v>73939</v>
      </c>
      <c r="F79" s="350"/>
    </row>
    <row r="80" spans="1:6">
      <c r="A80" s="359"/>
      <c r="D80" s="355"/>
    </row>
    <row r="81" spans="1:9">
      <c r="A81" s="350" t="s">
        <v>1041</v>
      </c>
      <c r="D81" s="353">
        <f>D23+D25+D30+D34+D36+D38+D40+D44+D46+D50+D55+D59+D63+D68+D72+D74+D79</f>
        <v>1274597</v>
      </c>
    </row>
    <row r="82" spans="1:9">
      <c r="D82" s="355"/>
    </row>
    <row r="83" spans="1:9">
      <c r="A83" s="351" t="s">
        <v>7355</v>
      </c>
      <c r="D83" s="360"/>
    </row>
    <row r="84" spans="1:9">
      <c r="A84" s="361"/>
      <c r="D84" s="360"/>
    </row>
    <row r="85" spans="1:9">
      <c r="A85" s="361"/>
      <c r="D85" s="360"/>
    </row>
    <row r="86" spans="1:9">
      <c r="D86" s="10" t="s">
        <v>285</v>
      </c>
      <c r="E86" s="16"/>
      <c r="F86" s="5" t="s">
        <v>4116</v>
      </c>
    </row>
    <row r="87" spans="1:9">
      <c r="D87" s="15">
        <v>2016</v>
      </c>
      <c r="F87" s="18" t="s">
        <v>286</v>
      </c>
    </row>
    <row r="88" spans="1:9">
      <c r="A88" s="350" t="s">
        <v>7312</v>
      </c>
      <c r="C88" s="350"/>
      <c r="D88" s="353">
        <f t="shared" ref="D88" si="41">SUM(D89:D105)</f>
        <v>123050</v>
      </c>
    </row>
    <row r="89" spans="1:9">
      <c r="A89" s="350" t="s">
        <v>812</v>
      </c>
      <c r="B89" s="350" t="s">
        <v>7356</v>
      </c>
      <c r="C89" s="1" t="s">
        <v>7357</v>
      </c>
      <c r="D89" s="7">
        <v>7262</v>
      </c>
      <c r="F89" s="350" t="s">
        <v>7352</v>
      </c>
      <c r="G89" s="1"/>
      <c r="I89" s="1"/>
    </row>
    <row r="90" spans="1:9">
      <c r="A90" s="350" t="s">
        <v>813</v>
      </c>
      <c r="B90" s="350" t="s">
        <v>7358</v>
      </c>
      <c r="C90" s="1" t="s">
        <v>7359</v>
      </c>
      <c r="D90" s="7">
        <v>7713</v>
      </c>
      <c r="F90" s="350" t="s">
        <v>7352</v>
      </c>
      <c r="G90" s="1"/>
      <c r="I90" s="1"/>
    </row>
    <row r="91" spans="1:9">
      <c r="A91" s="350" t="s">
        <v>814</v>
      </c>
      <c r="B91" s="350" t="s">
        <v>7360</v>
      </c>
      <c r="C91" s="1" t="s">
        <v>7361</v>
      </c>
      <c r="D91" s="7">
        <v>6726</v>
      </c>
      <c r="F91" s="350" t="s">
        <v>7352</v>
      </c>
      <c r="G91" s="1"/>
      <c r="I91" s="1"/>
    </row>
    <row r="92" spans="1:9">
      <c r="A92" s="350" t="s">
        <v>815</v>
      </c>
      <c r="B92" s="350" t="s">
        <v>7362</v>
      </c>
      <c r="C92" s="1" t="s">
        <v>7363</v>
      </c>
      <c r="D92" s="7">
        <v>7477</v>
      </c>
      <c r="F92" s="350" t="s">
        <v>7352</v>
      </c>
      <c r="G92" s="1"/>
      <c r="I92" s="1"/>
    </row>
    <row r="93" spans="1:9">
      <c r="A93" s="350" t="s">
        <v>816</v>
      </c>
      <c r="B93" s="350" t="s">
        <v>7364</v>
      </c>
      <c r="C93" s="1" t="s">
        <v>7365</v>
      </c>
      <c r="D93" s="7">
        <v>6912</v>
      </c>
      <c r="F93" s="350" t="s">
        <v>7347</v>
      </c>
      <c r="G93" s="1"/>
      <c r="I93" s="1"/>
    </row>
    <row r="94" spans="1:9">
      <c r="A94" s="350" t="s">
        <v>826</v>
      </c>
      <c r="B94" s="350" t="s">
        <v>7366</v>
      </c>
      <c r="C94" s="1" t="s">
        <v>7367</v>
      </c>
      <c r="D94" s="7">
        <v>7124</v>
      </c>
      <c r="F94" s="350" t="s">
        <v>7352</v>
      </c>
      <c r="G94" s="1"/>
      <c r="I94" s="1"/>
    </row>
    <row r="95" spans="1:9">
      <c r="A95" s="350" t="s">
        <v>827</v>
      </c>
      <c r="B95" s="350" t="s">
        <v>7281</v>
      </c>
      <c r="C95" s="1" t="s">
        <v>7368</v>
      </c>
      <c r="D95" s="7">
        <v>6684</v>
      </c>
      <c r="F95" s="350" t="s">
        <v>7347</v>
      </c>
      <c r="G95" s="1"/>
      <c r="I95" s="1"/>
    </row>
    <row r="96" spans="1:9">
      <c r="A96" s="350" t="s">
        <v>828</v>
      </c>
      <c r="B96" s="350" t="s">
        <v>7369</v>
      </c>
      <c r="C96" s="1" t="s">
        <v>7370</v>
      </c>
      <c r="D96" s="7">
        <v>7419</v>
      </c>
      <c r="F96" s="350" t="s">
        <v>7352</v>
      </c>
      <c r="G96" s="1"/>
      <c r="I96" s="1"/>
    </row>
    <row r="97" spans="1:9">
      <c r="A97" s="350" t="s">
        <v>829</v>
      </c>
      <c r="B97" s="350" t="s">
        <v>7371</v>
      </c>
      <c r="C97" s="1" t="s">
        <v>7372</v>
      </c>
      <c r="D97" s="7">
        <v>7328</v>
      </c>
      <c r="F97" s="350" t="s">
        <v>7352</v>
      </c>
      <c r="G97" s="1"/>
      <c r="I97" s="1"/>
    </row>
    <row r="98" spans="1:9">
      <c r="A98" s="350" t="s">
        <v>830</v>
      </c>
      <c r="B98" s="350" t="s">
        <v>7373</v>
      </c>
      <c r="C98" s="1" t="s">
        <v>7374</v>
      </c>
      <c r="D98" s="7">
        <v>7711</v>
      </c>
      <c r="F98" s="350" t="s">
        <v>7347</v>
      </c>
      <c r="G98" s="1"/>
      <c r="I98" s="1"/>
    </row>
    <row r="99" spans="1:9">
      <c r="A99" s="350" t="s">
        <v>831</v>
      </c>
      <c r="B99" s="350" t="s">
        <v>7375</v>
      </c>
      <c r="C99" s="1" t="s">
        <v>7376</v>
      </c>
      <c r="D99" s="7">
        <v>8346</v>
      </c>
      <c r="F99" s="350" t="s">
        <v>7347</v>
      </c>
      <c r="G99" s="1"/>
      <c r="I99" s="1"/>
    </row>
    <row r="100" spans="1:9">
      <c r="A100" s="350" t="s">
        <v>832</v>
      </c>
      <c r="B100" s="350" t="s">
        <v>7377</v>
      </c>
      <c r="C100" s="1" t="s">
        <v>7378</v>
      </c>
      <c r="D100" s="7">
        <v>7317</v>
      </c>
      <c r="F100" s="350" t="s">
        <v>7347</v>
      </c>
      <c r="G100" s="1"/>
      <c r="I100" s="1"/>
    </row>
    <row r="101" spans="1:9">
      <c r="A101" s="350" t="s">
        <v>833</v>
      </c>
      <c r="B101" s="350" t="s">
        <v>7379</v>
      </c>
      <c r="C101" s="1" t="s">
        <v>7380</v>
      </c>
      <c r="D101" s="7">
        <v>7244</v>
      </c>
      <c r="F101" s="350" t="s">
        <v>7347</v>
      </c>
      <c r="G101" s="1"/>
      <c r="I101" s="1"/>
    </row>
    <row r="102" spans="1:9">
      <c r="A102" s="362">
        <v>14</v>
      </c>
      <c r="B102" s="350" t="s">
        <v>5586</v>
      </c>
      <c r="C102" s="1" t="s">
        <v>7381</v>
      </c>
      <c r="D102" s="7">
        <v>6666</v>
      </c>
      <c r="F102" s="350" t="s">
        <v>7347</v>
      </c>
      <c r="G102" s="1"/>
      <c r="I102" s="1"/>
    </row>
    <row r="103" spans="1:9">
      <c r="A103" s="362">
        <v>15</v>
      </c>
      <c r="B103" s="350" t="s">
        <v>7382</v>
      </c>
      <c r="C103" s="1" t="s">
        <v>7383</v>
      </c>
      <c r="D103" s="8">
        <v>6956</v>
      </c>
      <c r="F103" s="350" t="s">
        <v>7352</v>
      </c>
      <c r="G103" s="1"/>
      <c r="I103" s="1"/>
    </row>
    <row r="104" spans="1:9">
      <c r="A104" s="362">
        <v>16</v>
      </c>
      <c r="B104" s="350" t="s">
        <v>7384</v>
      </c>
      <c r="C104" s="1" t="s">
        <v>7385</v>
      </c>
      <c r="D104" s="8">
        <v>6947</v>
      </c>
      <c r="F104" s="350" t="s">
        <v>7352</v>
      </c>
      <c r="G104" s="1"/>
      <c r="I104" s="1"/>
    </row>
    <row r="105" spans="1:9">
      <c r="A105" s="362">
        <v>17</v>
      </c>
      <c r="B105" s="350" t="s">
        <v>7386</v>
      </c>
      <c r="C105" s="1" t="s">
        <v>7387</v>
      </c>
      <c r="D105" s="7">
        <v>7218</v>
      </c>
      <c r="F105" s="350" t="s">
        <v>7347</v>
      </c>
      <c r="G105" s="1"/>
      <c r="I105" s="1"/>
    </row>
    <row r="106" spans="1:9">
      <c r="D106" s="355"/>
    </row>
    <row r="107" spans="1:9">
      <c r="A107" s="350" t="s">
        <v>7388</v>
      </c>
      <c r="D107" s="353">
        <f t="shared" ref="D107" si="42">D93+D95+SUM(D98:D102)+D105</f>
        <v>58098</v>
      </c>
    </row>
    <row r="108" spans="1:9">
      <c r="A108" s="350" t="s">
        <v>7352</v>
      </c>
      <c r="D108" s="353">
        <f t="shared" ref="D108" si="43">SUM(D89:D92)+D94+D96+D97+D103+D104</f>
        <v>64952</v>
      </c>
    </row>
    <row r="110" spans="1:9">
      <c r="A110" s="351" t="s">
        <v>7389</v>
      </c>
    </row>
    <row r="113" spans="1:9">
      <c r="D113" s="10" t="s">
        <v>285</v>
      </c>
      <c r="E113" s="16"/>
      <c r="F113" s="5" t="s">
        <v>4116</v>
      </c>
    </row>
    <row r="114" spans="1:9">
      <c r="D114" s="15">
        <v>2016</v>
      </c>
      <c r="F114" s="18" t="s">
        <v>286</v>
      </c>
    </row>
    <row r="115" spans="1:9">
      <c r="A115" s="350" t="s">
        <v>7313</v>
      </c>
      <c r="D115" s="353">
        <f t="shared" ref="D115" si="44">SUM(D116:D135)</f>
        <v>106911</v>
      </c>
    </row>
    <row r="116" spans="1:9" ht="15" customHeight="1">
      <c r="A116" s="350" t="s">
        <v>812</v>
      </c>
      <c r="B116" s="350" t="s">
        <v>7390</v>
      </c>
      <c r="C116" s="1" t="s">
        <v>7391</v>
      </c>
      <c r="D116" s="7">
        <v>6386</v>
      </c>
      <c r="F116" s="350" t="s">
        <v>7353</v>
      </c>
      <c r="G116" s="1"/>
      <c r="I116" s="1"/>
    </row>
    <row r="117" spans="1:9" ht="15" customHeight="1">
      <c r="A117" s="350" t="s">
        <v>813</v>
      </c>
      <c r="B117" s="350" t="s">
        <v>7392</v>
      </c>
      <c r="C117" s="1" t="s">
        <v>7393</v>
      </c>
      <c r="D117" s="7">
        <v>6459</v>
      </c>
      <c r="F117" s="350" t="s">
        <v>7353</v>
      </c>
      <c r="G117" s="1"/>
      <c r="I117" s="1"/>
    </row>
    <row r="118" spans="1:9">
      <c r="A118" s="350" t="s">
        <v>814</v>
      </c>
      <c r="B118" s="350" t="s">
        <v>7394</v>
      </c>
      <c r="C118" s="1" t="s">
        <v>7395</v>
      </c>
      <c r="D118" s="7">
        <v>6870</v>
      </c>
      <c r="F118" s="350" t="s">
        <v>7353</v>
      </c>
      <c r="G118" s="1"/>
      <c r="I118" s="1"/>
    </row>
    <row r="119" spans="1:9">
      <c r="A119" s="350" t="s">
        <v>815</v>
      </c>
      <c r="B119" s="2" t="s">
        <v>7396</v>
      </c>
      <c r="C119" s="1" t="s">
        <v>7397</v>
      </c>
      <c r="D119" s="7">
        <v>4994</v>
      </c>
      <c r="F119" s="350" t="s">
        <v>7353</v>
      </c>
      <c r="G119" s="1"/>
      <c r="I119" s="1"/>
    </row>
    <row r="120" spans="1:9">
      <c r="A120" s="350" t="s">
        <v>816</v>
      </c>
      <c r="B120" s="350" t="s">
        <v>7398</v>
      </c>
      <c r="C120" s="1" t="s">
        <v>7399</v>
      </c>
      <c r="D120" s="7">
        <v>4326</v>
      </c>
      <c r="F120" s="350" t="s">
        <v>7350</v>
      </c>
      <c r="G120" s="1"/>
      <c r="I120" s="1"/>
    </row>
    <row r="121" spans="1:9">
      <c r="A121" s="350" t="s">
        <v>826</v>
      </c>
      <c r="B121" s="350" t="s">
        <v>7400</v>
      </c>
      <c r="C121" s="1" t="s">
        <v>7401</v>
      </c>
      <c r="D121" s="7">
        <v>4536</v>
      </c>
      <c r="F121" s="350" t="s">
        <v>7350</v>
      </c>
      <c r="G121" s="1"/>
      <c r="I121" s="1"/>
    </row>
    <row r="122" spans="1:9">
      <c r="A122" s="350" t="s">
        <v>827</v>
      </c>
      <c r="B122" s="350" t="s">
        <v>7402</v>
      </c>
      <c r="C122" s="1" t="s">
        <v>7403</v>
      </c>
      <c r="D122" s="7">
        <v>6129</v>
      </c>
      <c r="F122" s="350" t="s">
        <v>7353</v>
      </c>
      <c r="G122" s="1"/>
      <c r="I122" s="1"/>
    </row>
    <row r="123" spans="1:9">
      <c r="A123" s="350" t="s">
        <v>828</v>
      </c>
      <c r="B123" s="350" t="s">
        <v>7404</v>
      </c>
      <c r="C123" s="1" t="s">
        <v>7405</v>
      </c>
      <c r="D123" s="7">
        <v>5823</v>
      </c>
      <c r="F123" s="350" t="s">
        <v>7353</v>
      </c>
      <c r="G123" s="1"/>
      <c r="I123" s="1"/>
    </row>
    <row r="124" spans="1:9">
      <c r="A124" s="350" t="s">
        <v>829</v>
      </c>
      <c r="B124" s="350" t="s">
        <v>7406</v>
      </c>
      <c r="C124" s="1" t="s">
        <v>7407</v>
      </c>
      <c r="D124" s="7">
        <v>4608</v>
      </c>
      <c r="F124" s="350" t="s">
        <v>7353</v>
      </c>
      <c r="G124" s="1"/>
      <c r="I124" s="1"/>
    </row>
    <row r="125" spans="1:9">
      <c r="A125" s="350" t="s">
        <v>830</v>
      </c>
      <c r="B125" s="350" t="s">
        <v>7408</v>
      </c>
      <c r="C125" s="1" t="s">
        <v>7409</v>
      </c>
      <c r="D125" s="7">
        <v>4290</v>
      </c>
      <c r="F125" s="350" t="s">
        <v>7353</v>
      </c>
      <c r="G125" s="1"/>
      <c r="I125" s="1"/>
    </row>
    <row r="126" spans="1:9">
      <c r="A126" s="350" t="s">
        <v>831</v>
      </c>
      <c r="B126" s="350" t="s">
        <v>7410</v>
      </c>
      <c r="C126" s="1" t="s">
        <v>7411</v>
      </c>
      <c r="D126" s="7">
        <v>6794</v>
      </c>
      <c r="F126" s="350" t="s">
        <v>7353</v>
      </c>
      <c r="G126" s="1"/>
      <c r="I126" s="1"/>
    </row>
    <row r="127" spans="1:9">
      <c r="A127" s="350" t="s">
        <v>832</v>
      </c>
      <c r="B127" s="350" t="s">
        <v>7412</v>
      </c>
      <c r="C127" s="1" t="s">
        <v>7413</v>
      </c>
      <c r="D127" s="7">
        <v>4823</v>
      </c>
      <c r="F127" s="350" t="s">
        <v>7350</v>
      </c>
      <c r="G127" s="1"/>
      <c r="I127" s="1"/>
    </row>
    <row r="128" spans="1:9">
      <c r="A128" s="350" t="s">
        <v>833</v>
      </c>
      <c r="B128" s="350" t="s">
        <v>7414</v>
      </c>
      <c r="C128" s="1" t="s">
        <v>7415</v>
      </c>
      <c r="D128" s="8">
        <v>4251</v>
      </c>
      <c r="F128" s="350" t="s">
        <v>7353</v>
      </c>
      <c r="G128" s="1"/>
      <c r="I128" s="1"/>
    </row>
    <row r="129" spans="1:9">
      <c r="A129" s="350" t="s">
        <v>834</v>
      </c>
      <c r="B129" s="350" t="s">
        <v>7416</v>
      </c>
      <c r="C129" s="1" t="s">
        <v>7417</v>
      </c>
      <c r="D129" s="7">
        <v>6307</v>
      </c>
      <c r="F129" s="350" t="s">
        <v>7350</v>
      </c>
      <c r="G129" s="1"/>
      <c r="I129" s="1"/>
    </row>
    <row r="130" spans="1:9">
      <c r="A130" s="350" t="s">
        <v>835</v>
      </c>
      <c r="B130" s="350" t="s">
        <v>7418</v>
      </c>
      <c r="C130" s="1" t="s">
        <v>7419</v>
      </c>
      <c r="D130" s="7">
        <v>4550</v>
      </c>
      <c r="F130" s="350" t="s">
        <v>7350</v>
      </c>
      <c r="G130" s="1"/>
      <c r="I130" s="1"/>
    </row>
    <row r="131" spans="1:9">
      <c r="A131" s="350" t="s">
        <v>836</v>
      </c>
      <c r="B131" s="350" t="s">
        <v>7420</v>
      </c>
      <c r="C131" s="1" t="s">
        <v>7421</v>
      </c>
      <c r="D131" s="8">
        <v>4996</v>
      </c>
      <c r="F131" s="350" t="s">
        <v>7353</v>
      </c>
      <c r="G131" s="1"/>
      <c r="I131" s="1"/>
    </row>
    <row r="132" spans="1:9">
      <c r="A132" s="350" t="s">
        <v>837</v>
      </c>
      <c r="B132" s="350" t="s">
        <v>7422</v>
      </c>
      <c r="C132" s="1" t="s">
        <v>7423</v>
      </c>
      <c r="D132" s="7">
        <v>6434</v>
      </c>
      <c r="F132" s="350" t="s">
        <v>7350</v>
      </c>
      <c r="G132" s="1"/>
      <c r="I132" s="1"/>
    </row>
    <row r="133" spans="1:9">
      <c r="A133" s="350" t="s">
        <v>838</v>
      </c>
      <c r="B133" s="350" t="s">
        <v>7424</v>
      </c>
      <c r="C133" s="1" t="s">
        <v>7425</v>
      </c>
      <c r="D133" s="8">
        <v>4022</v>
      </c>
      <c r="F133" s="350" t="s">
        <v>7353</v>
      </c>
      <c r="G133" s="1"/>
      <c r="I133" s="1"/>
    </row>
    <row r="134" spans="1:9">
      <c r="A134" s="350" t="s">
        <v>840</v>
      </c>
      <c r="B134" s="350" t="s">
        <v>7426</v>
      </c>
      <c r="C134" s="1" t="s">
        <v>7427</v>
      </c>
      <c r="D134" s="8">
        <v>3811</v>
      </c>
      <c r="F134" s="350" t="s">
        <v>7353</v>
      </c>
      <c r="G134" s="1"/>
      <c r="I134" s="1"/>
    </row>
    <row r="135" spans="1:9">
      <c r="A135" s="350" t="s">
        <v>841</v>
      </c>
      <c r="B135" s="350" t="s">
        <v>7428</v>
      </c>
      <c r="C135" s="1" t="s">
        <v>7429</v>
      </c>
      <c r="D135" s="8">
        <v>6502</v>
      </c>
      <c r="F135" s="350" t="s">
        <v>7353</v>
      </c>
      <c r="G135" s="1"/>
      <c r="I135" s="1"/>
    </row>
    <row r="136" spans="1:9">
      <c r="A136" s="350"/>
      <c r="D136" s="355"/>
    </row>
    <row r="137" spans="1:9">
      <c r="A137" s="350" t="s">
        <v>7430</v>
      </c>
      <c r="D137" s="353">
        <f t="shared" ref="D137" si="45">D120+D121+D127+D129+D130+D132</f>
        <v>30976</v>
      </c>
    </row>
    <row r="138" spans="1:9">
      <c r="A138" s="350" t="s">
        <v>7353</v>
      </c>
      <c r="D138" s="353">
        <f t="shared" ref="D138" si="46">SUM(D116:D119)+SUM(D122:D126)+D128+D131+SUM(D133:D135)</f>
        <v>75935</v>
      </c>
    </row>
    <row r="140" spans="1:9">
      <c r="A140" s="351" t="s">
        <v>7431</v>
      </c>
    </row>
    <row r="143" spans="1:9">
      <c r="D143" s="10" t="s">
        <v>285</v>
      </c>
      <c r="E143" s="16"/>
      <c r="F143" s="5" t="s">
        <v>4116</v>
      </c>
    </row>
    <row r="144" spans="1:9">
      <c r="D144" s="15">
        <v>2016</v>
      </c>
      <c r="F144" s="18" t="s">
        <v>286</v>
      </c>
    </row>
    <row r="145" spans="1:9">
      <c r="A145" s="350" t="s">
        <v>7432</v>
      </c>
      <c r="D145" s="353">
        <f t="shared" ref="D145" si="47">SUM(D146:D161)</f>
        <v>126526</v>
      </c>
    </row>
    <row r="146" spans="1:9">
      <c r="A146" s="350" t="s">
        <v>812</v>
      </c>
      <c r="B146" s="350" t="s">
        <v>7433</v>
      </c>
      <c r="C146" s="1" t="s">
        <v>7434</v>
      </c>
      <c r="D146" s="7">
        <v>9061</v>
      </c>
      <c r="F146" s="350" t="s">
        <v>7326</v>
      </c>
      <c r="I146" s="1"/>
    </row>
    <row r="147" spans="1:9" ht="15" customHeight="1">
      <c r="A147" s="350" t="s">
        <v>813</v>
      </c>
      <c r="B147" s="350" t="s">
        <v>7435</v>
      </c>
      <c r="C147" s="1" t="s">
        <v>7436</v>
      </c>
      <c r="D147" s="7">
        <v>9134</v>
      </c>
      <c r="F147" s="350" t="s">
        <v>7326</v>
      </c>
      <c r="I147" s="1"/>
    </row>
    <row r="148" spans="1:9">
      <c r="A148" s="350" t="s">
        <v>814</v>
      </c>
      <c r="B148" s="350" t="s">
        <v>7437</v>
      </c>
      <c r="C148" s="1" t="s">
        <v>7438</v>
      </c>
      <c r="D148" s="7">
        <v>8430</v>
      </c>
      <c r="F148" s="350" t="s">
        <v>7326</v>
      </c>
      <c r="I148" s="1"/>
    </row>
    <row r="149" spans="1:9" ht="15" customHeight="1">
      <c r="A149" s="350" t="s">
        <v>815</v>
      </c>
      <c r="B149" s="350" t="s">
        <v>7439</v>
      </c>
      <c r="C149" s="1" t="s">
        <v>7440</v>
      </c>
      <c r="D149" s="7">
        <v>6035</v>
      </c>
      <c r="F149" s="350" t="s">
        <v>7326</v>
      </c>
      <c r="I149" s="1"/>
    </row>
    <row r="150" spans="1:9" ht="15" customHeight="1">
      <c r="A150" s="350" t="s">
        <v>816</v>
      </c>
      <c r="B150" s="350" t="s">
        <v>7441</v>
      </c>
      <c r="C150" s="1" t="s">
        <v>7442</v>
      </c>
      <c r="D150" s="7">
        <v>9123</v>
      </c>
      <c r="F150" s="350" t="s">
        <v>7326</v>
      </c>
      <c r="I150" s="1"/>
    </row>
    <row r="151" spans="1:9">
      <c r="A151" s="350" t="s">
        <v>826</v>
      </c>
      <c r="B151" s="350" t="s">
        <v>7443</v>
      </c>
      <c r="C151" s="1" t="s">
        <v>7444</v>
      </c>
      <c r="D151" s="7">
        <v>8597</v>
      </c>
      <c r="F151" s="350" t="s">
        <v>7350</v>
      </c>
      <c r="I151" s="1"/>
    </row>
    <row r="152" spans="1:9">
      <c r="A152" s="350" t="s">
        <v>827</v>
      </c>
      <c r="B152" s="350" t="s">
        <v>7445</v>
      </c>
      <c r="C152" s="1" t="s">
        <v>7446</v>
      </c>
      <c r="D152" s="7">
        <v>6814</v>
      </c>
      <c r="F152" s="350" t="s">
        <v>7350</v>
      </c>
      <c r="I152" s="1"/>
    </row>
    <row r="153" spans="1:9">
      <c r="A153" s="350" t="s">
        <v>828</v>
      </c>
      <c r="B153" s="350" t="s">
        <v>7447</v>
      </c>
      <c r="C153" s="1" t="s">
        <v>7448</v>
      </c>
      <c r="D153" s="7">
        <v>8775</v>
      </c>
      <c r="F153" s="350" t="s">
        <v>7350</v>
      </c>
      <c r="I153" s="1"/>
    </row>
    <row r="154" spans="1:9">
      <c r="A154" s="350" t="s">
        <v>829</v>
      </c>
      <c r="B154" s="350" t="s">
        <v>7449</v>
      </c>
      <c r="C154" s="1" t="s">
        <v>7450</v>
      </c>
      <c r="D154" s="7">
        <v>8486</v>
      </c>
      <c r="F154" s="350" t="s">
        <v>7350</v>
      </c>
      <c r="I154" s="1"/>
    </row>
    <row r="155" spans="1:9">
      <c r="A155" s="350" t="s">
        <v>830</v>
      </c>
      <c r="B155" s="350" t="s">
        <v>7451</v>
      </c>
      <c r="C155" s="1" t="s">
        <v>7452</v>
      </c>
      <c r="D155" s="7">
        <v>8900</v>
      </c>
      <c r="F155" s="350" t="s">
        <v>7334</v>
      </c>
      <c r="I155" s="1"/>
    </row>
    <row r="156" spans="1:9">
      <c r="A156" s="350" t="s">
        <v>831</v>
      </c>
      <c r="B156" s="350" t="s">
        <v>7453</v>
      </c>
      <c r="C156" s="1" t="s">
        <v>7454</v>
      </c>
      <c r="D156" s="7">
        <v>8469</v>
      </c>
      <c r="F156" s="350" t="s">
        <v>7334</v>
      </c>
      <c r="I156" s="1"/>
    </row>
    <row r="157" spans="1:9">
      <c r="A157" s="350" t="s">
        <v>832</v>
      </c>
      <c r="B157" s="350" t="s">
        <v>2602</v>
      </c>
      <c r="C157" s="1" t="s">
        <v>7455</v>
      </c>
      <c r="D157" s="7">
        <v>5730</v>
      </c>
      <c r="F157" s="350" t="s">
        <v>7326</v>
      </c>
      <c r="I157" s="1"/>
    </row>
    <row r="158" spans="1:9">
      <c r="A158" s="350" t="s">
        <v>833</v>
      </c>
      <c r="B158" s="350" t="s">
        <v>7456</v>
      </c>
      <c r="C158" s="1" t="s">
        <v>7457</v>
      </c>
      <c r="D158" s="8">
        <v>6547</v>
      </c>
      <c r="F158" s="350" t="s">
        <v>7350</v>
      </c>
      <c r="I158" s="1"/>
    </row>
    <row r="159" spans="1:9">
      <c r="A159" s="363">
        <v>14</v>
      </c>
      <c r="B159" s="350" t="s">
        <v>7458</v>
      </c>
      <c r="C159" s="1" t="s">
        <v>7459</v>
      </c>
      <c r="D159" s="7">
        <v>6160</v>
      </c>
      <c r="F159" s="350" t="s">
        <v>7326</v>
      </c>
      <c r="I159" s="1"/>
    </row>
    <row r="160" spans="1:9">
      <c r="A160" s="363">
        <v>15</v>
      </c>
      <c r="B160" s="350" t="s">
        <v>7460</v>
      </c>
      <c r="C160" s="1" t="s">
        <v>7461</v>
      </c>
      <c r="D160" s="7">
        <v>9487</v>
      </c>
      <c r="F160" s="350" t="s">
        <v>7326</v>
      </c>
      <c r="I160" s="1"/>
    </row>
    <row r="161" spans="1:9">
      <c r="A161" s="363">
        <v>16</v>
      </c>
      <c r="B161" s="350" t="s">
        <v>7462</v>
      </c>
      <c r="C161" s="1" t="s">
        <v>7463</v>
      </c>
      <c r="D161" s="7">
        <v>6778</v>
      </c>
      <c r="F161" s="350" t="s">
        <v>7326</v>
      </c>
      <c r="I161" s="1"/>
    </row>
    <row r="162" spans="1:9">
      <c r="D162" s="355"/>
    </row>
    <row r="163" spans="1:9">
      <c r="A163" s="350" t="s">
        <v>7464</v>
      </c>
      <c r="D163" s="353">
        <f>SUM(D146:D150)+D157+SUM(D159:D161)</f>
        <v>69938</v>
      </c>
    </row>
    <row r="164" spans="1:9">
      <c r="A164" s="350" t="s">
        <v>7465</v>
      </c>
      <c r="D164" s="353">
        <f>D155+D156</f>
        <v>17369</v>
      </c>
    </row>
    <row r="165" spans="1:9">
      <c r="A165" s="350" t="s">
        <v>7430</v>
      </c>
      <c r="D165" s="353">
        <f>SUM(D151:D154)+D158</f>
        <v>39219</v>
      </c>
    </row>
    <row r="166" spans="1:9">
      <c r="A166" s="350"/>
      <c r="D166" s="353"/>
    </row>
    <row r="167" spans="1:9">
      <c r="A167" s="350" t="s">
        <v>7466</v>
      </c>
      <c r="D167" s="353"/>
    </row>
    <row r="168" spans="1:9">
      <c r="A168" s="350" t="s">
        <v>7467</v>
      </c>
      <c r="D168" s="353"/>
    </row>
    <row r="169" spans="1:9">
      <c r="A169" s="350"/>
      <c r="B169" s="350"/>
      <c r="D169" s="364"/>
    </row>
    <row r="170" spans="1:9">
      <c r="A170" s="350"/>
      <c r="B170" s="350"/>
      <c r="D170" s="364"/>
    </row>
    <row r="171" spans="1:9">
      <c r="D171" s="10" t="s">
        <v>285</v>
      </c>
      <c r="E171" s="16"/>
      <c r="F171" s="5" t="s">
        <v>4116</v>
      </c>
    </row>
    <row r="172" spans="1:9">
      <c r="D172" s="15">
        <v>2016</v>
      </c>
      <c r="F172" s="18" t="s">
        <v>286</v>
      </c>
    </row>
    <row r="173" spans="1:9">
      <c r="A173" s="350" t="s">
        <v>7468</v>
      </c>
      <c r="D173" s="353">
        <f>SUM(D174:D199)</f>
        <v>108866</v>
      </c>
    </row>
    <row r="174" spans="1:9">
      <c r="A174" s="350" t="s">
        <v>812</v>
      </c>
      <c r="B174" s="350" t="s">
        <v>7469</v>
      </c>
      <c r="C174" s="1" t="s">
        <v>7470</v>
      </c>
      <c r="D174" s="7">
        <v>7232</v>
      </c>
      <c r="F174" s="350" t="s">
        <v>7329</v>
      </c>
      <c r="G174" s="1"/>
      <c r="I174" s="1"/>
    </row>
    <row r="175" spans="1:9">
      <c r="A175" s="350" t="s">
        <v>813</v>
      </c>
      <c r="B175" s="350" t="s">
        <v>7471</v>
      </c>
      <c r="C175" s="1" t="s">
        <v>7472</v>
      </c>
      <c r="D175" s="7">
        <v>4018</v>
      </c>
      <c r="F175" s="350" t="s">
        <v>7329</v>
      </c>
      <c r="G175" s="1"/>
      <c r="I175" s="1"/>
    </row>
    <row r="176" spans="1:9">
      <c r="A176" s="350" t="s">
        <v>814</v>
      </c>
      <c r="B176" s="350" t="s">
        <v>7473</v>
      </c>
      <c r="C176" s="1" t="s">
        <v>7474</v>
      </c>
      <c r="D176" s="7">
        <v>4230</v>
      </c>
      <c r="F176" s="350" t="s">
        <v>7329</v>
      </c>
      <c r="G176" s="1"/>
      <c r="I176" s="1"/>
    </row>
    <row r="177" spans="1:9">
      <c r="A177" s="350" t="s">
        <v>815</v>
      </c>
      <c r="B177" s="350" t="s">
        <v>7475</v>
      </c>
      <c r="C177" s="1" t="s">
        <v>7476</v>
      </c>
      <c r="D177" s="7">
        <v>5905</v>
      </c>
      <c r="F177" s="350" t="s">
        <v>7329</v>
      </c>
      <c r="G177" s="1"/>
      <c r="I177" s="1"/>
    </row>
    <row r="178" spans="1:9">
      <c r="A178" s="350" t="s">
        <v>816</v>
      </c>
      <c r="B178" s="350" t="s">
        <v>7477</v>
      </c>
      <c r="C178" s="1" t="s">
        <v>7478</v>
      </c>
      <c r="D178" s="7">
        <v>4347</v>
      </c>
      <c r="F178" s="350" t="s">
        <v>7329</v>
      </c>
      <c r="G178" s="1"/>
      <c r="I178" s="1"/>
    </row>
    <row r="179" spans="1:9">
      <c r="A179" s="350" t="s">
        <v>826</v>
      </c>
      <c r="B179" s="350" t="s">
        <v>7479</v>
      </c>
      <c r="C179" s="1" t="s">
        <v>7480</v>
      </c>
      <c r="D179" s="7">
        <v>4643</v>
      </c>
      <c r="F179" s="350" t="s">
        <v>7329</v>
      </c>
      <c r="G179" s="1"/>
      <c r="I179" s="1"/>
    </row>
    <row r="180" spans="1:9">
      <c r="A180" s="350" t="s">
        <v>827</v>
      </c>
      <c r="B180" s="350" t="s">
        <v>7481</v>
      </c>
      <c r="C180" s="1" t="s">
        <v>7482</v>
      </c>
      <c r="D180" s="7">
        <v>2285</v>
      </c>
      <c r="F180" s="350" t="s">
        <v>7349</v>
      </c>
      <c r="G180" s="1"/>
      <c r="I180" s="1"/>
    </row>
    <row r="181" spans="1:9">
      <c r="A181" s="350" t="s">
        <v>828</v>
      </c>
      <c r="B181" s="350" t="s">
        <v>7483</v>
      </c>
      <c r="C181" s="1" t="s">
        <v>7484</v>
      </c>
      <c r="D181" s="7">
        <v>4498</v>
      </c>
      <c r="F181" s="350" t="s">
        <v>7329</v>
      </c>
      <c r="G181" s="1"/>
      <c r="I181" s="1"/>
    </row>
    <row r="182" spans="1:9">
      <c r="A182" s="350" t="s">
        <v>829</v>
      </c>
      <c r="B182" s="350" t="s">
        <v>7485</v>
      </c>
      <c r="C182" s="1" t="s">
        <v>7486</v>
      </c>
      <c r="D182" s="7">
        <v>2211</v>
      </c>
      <c r="F182" s="350" t="s">
        <v>7329</v>
      </c>
      <c r="G182" s="1"/>
      <c r="I182" s="1"/>
    </row>
    <row r="183" spans="1:9">
      <c r="A183" s="350" t="s">
        <v>830</v>
      </c>
      <c r="B183" s="350" t="s">
        <v>7487</v>
      </c>
      <c r="C183" s="1" t="s">
        <v>7488</v>
      </c>
      <c r="D183" s="7">
        <v>7151</v>
      </c>
      <c r="F183" s="350" t="s">
        <v>7329</v>
      </c>
      <c r="G183" s="1"/>
      <c r="I183" s="1"/>
    </row>
    <row r="184" spans="1:9">
      <c r="A184" s="350" t="s">
        <v>831</v>
      </c>
      <c r="B184" s="350" t="s">
        <v>7489</v>
      </c>
      <c r="C184" s="1" t="s">
        <v>7490</v>
      </c>
      <c r="D184" s="7">
        <v>4216</v>
      </c>
      <c r="F184" s="350" t="s">
        <v>7329</v>
      </c>
      <c r="G184" s="1"/>
      <c r="I184" s="1"/>
    </row>
    <row r="185" spans="1:9">
      <c r="A185" s="350" t="s">
        <v>832</v>
      </c>
      <c r="B185" s="350" t="s">
        <v>7491</v>
      </c>
      <c r="C185" s="1" t="s">
        <v>7492</v>
      </c>
      <c r="D185" s="7">
        <v>4598</v>
      </c>
      <c r="F185" s="350" t="s">
        <v>7329</v>
      </c>
      <c r="G185" s="1"/>
      <c r="I185" s="1"/>
    </row>
    <row r="186" spans="1:9">
      <c r="A186" s="350" t="s">
        <v>833</v>
      </c>
      <c r="B186" s="350" t="s">
        <v>7493</v>
      </c>
      <c r="C186" s="1" t="s">
        <v>7494</v>
      </c>
      <c r="D186" s="8">
        <v>4689</v>
      </c>
      <c r="F186" s="350" t="s">
        <v>7354</v>
      </c>
      <c r="G186" s="1"/>
      <c r="I186" s="1"/>
    </row>
    <row r="187" spans="1:9">
      <c r="A187" s="350" t="s">
        <v>834</v>
      </c>
      <c r="B187" s="350" t="s">
        <v>7495</v>
      </c>
      <c r="C187" s="1" t="s">
        <v>7496</v>
      </c>
      <c r="D187" s="7">
        <v>4109</v>
      </c>
      <c r="F187" s="350" t="s">
        <v>7329</v>
      </c>
      <c r="G187" s="1"/>
      <c r="I187" s="1"/>
    </row>
    <row r="188" spans="1:9">
      <c r="A188" s="350" t="s">
        <v>835</v>
      </c>
      <c r="B188" s="350" t="s">
        <v>7497</v>
      </c>
      <c r="C188" s="1" t="s">
        <v>7498</v>
      </c>
      <c r="D188" s="8">
        <v>4251</v>
      </c>
      <c r="F188" s="350" t="s">
        <v>7329</v>
      </c>
      <c r="G188" s="1"/>
      <c r="I188" s="1"/>
    </row>
    <row r="189" spans="1:9">
      <c r="A189" s="350" t="s">
        <v>836</v>
      </c>
      <c r="B189" s="350" t="s">
        <v>7499</v>
      </c>
      <c r="C189" s="1" t="s">
        <v>7500</v>
      </c>
      <c r="D189" s="7">
        <v>2203</v>
      </c>
      <c r="F189" s="350" t="s">
        <v>7349</v>
      </c>
      <c r="G189" s="1"/>
      <c r="I189" s="1"/>
    </row>
    <row r="190" spans="1:9">
      <c r="A190" s="350" t="s">
        <v>837</v>
      </c>
      <c r="B190" s="350" t="s">
        <v>7501</v>
      </c>
      <c r="C190" s="1" t="s">
        <v>7502</v>
      </c>
      <c r="D190" s="7">
        <v>4619</v>
      </c>
      <c r="F190" s="350" t="s">
        <v>7329</v>
      </c>
      <c r="G190" s="1"/>
      <c r="I190" s="1"/>
    </row>
    <row r="191" spans="1:9">
      <c r="A191" s="350" t="s">
        <v>838</v>
      </c>
      <c r="B191" s="350" t="s">
        <v>7503</v>
      </c>
      <c r="C191" s="1" t="s">
        <v>7504</v>
      </c>
      <c r="D191" s="8">
        <v>2271</v>
      </c>
      <c r="F191" s="350" t="s">
        <v>7329</v>
      </c>
      <c r="G191" s="1"/>
      <c r="I191" s="1"/>
    </row>
    <row r="192" spans="1:9">
      <c r="A192" s="350" t="s">
        <v>840</v>
      </c>
      <c r="B192" s="350" t="s">
        <v>7505</v>
      </c>
      <c r="C192" s="1" t="s">
        <v>7506</v>
      </c>
      <c r="D192" s="8">
        <v>2404</v>
      </c>
      <c r="F192" s="350" t="s">
        <v>7329</v>
      </c>
      <c r="G192" s="1"/>
      <c r="I192" s="1"/>
    </row>
    <row r="193" spans="1:9">
      <c r="A193" s="350" t="s">
        <v>841</v>
      </c>
      <c r="B193" s="350" t="s">
        <v>7507</v>
      </c>
      <c r="C193" s="1" t="s">
        <v>7508</v>
      </c>
      <c r="D193" s="8">
        <v>4429</v>
      </c>
      <c r="F193" s="350" t="s">
        <v>7329</v>
      </c>
      <c r="G193" s="1"/>
      <c r="I193" s="1"/>
    </row>
    <row r="194" spans="1:9">
      <c r="A194" s="350" t="s">
        <v>878</v>
      </c>
      <c r="B194" s="350" t="s">
        <v>7509</v>
      </c>
      <c r="C194" s="1" t="s">
        <v>7510</v>
      </c>
      <c r="D194" s="8">
        <v>4480</v>
      </c>
      <c r="F194" s="350" t="s">
        <v>7349</v>
      </c>
      <c r="G194" s="1"/>
      <c r="I194" s="1"/>
    </row>
    <row r="195" spans="1:9">
      <c r="A195" s="350" t="s">
        <v>879</v>
      </c>
      <c r="B195" s="350" t="s">
        <v>7511</v>
      </c>
      <c r="C195" s="1" t="s">
        <v>7512</v>
      </c>
      <c r="D195" s="8">
        <v>4147</v>
      </c>
      <c r="F195" s="350" t="s">
        <v>7354</v>
      </c>
      <c r="G195" s="1"/>
      <c r="I195" s="1"/>
    </row>
    <row r="196" spans="1:9">
      <c r="A196" s="350" t="s">
        <v>880</v>
      </c>
      <c r="B196" s="350" t="s">
        <v>7513</v>
      </c>
      <c r="C196" s="1" t="s">
        <v>7514</v>
      </c>
      <c r="D196" s="8">
        <v>4759</v>
      </c>
      <c r="F196" s="350" t="s">
        <v>7354</v>
      </c>
      <c r="G196" s="1"/>
      <c r="I196" s="1"/>
    </row>
    <row r="197" spans="1:9">
      <c r="A197" s="350" t="s">
        <v>721</v>
      </c>
      <c r="B197" s="350" t="s">
        <v>7515</v>
      </c>
      <c r="C197" s="1" t="s">
        <v>7516</v>
      </c>
      <c r="D197" s="8">
        <v>4260</v>
      </c>
      <c r="F197" s="350" t="s">
        <v>7354</v>
      </c>
      <c r="G197" s="1"/>
      <c r="I197" s="1"/>
    </row>
    <row r="198" spans="1:9">
      <c r="A198" s="350" t="s">
        <v>722</v>
      </c>
      <c r="B198" s="350" t="s">
        <v>7517</v>
      </c>
      <c r="C198" s="1" t="s">
        <v>7518</v>
      </c>
      <c r="D198" s="8">
        <v>4801</v>
      </c>
      <c r="F198" s="350" t="s">
        <v>7354</v>
      </c>
      <c r="G198" s="1"/>
      <c r="I198" s="1"/>
    </row>
    <row r="199" spans="1:9">
      <c r="A199" s="350" t="s">
        <v>723</v>
      </c>
      <c r="B199" s="350" t="s">
        <v>7519</v>
      </c>
      <c r="C199" s="1" t="s">
        <v>7520</v>
      </c>
      <c r="D199" s="8">
        <v>2110</v>
      </c>
      <c r="F199" s="350" t="s">
        <v>7349</v>
      </c>
      <c r="G199" s="1"/>
      <c r="I199" s="1"/>
    </row>
    <row r="200" spans="1:9">
      <c r="D200" s="355"/>
    </row>
    <row r="201" spans="1:9">
      <c r="A201" s="350" t="s">
        <v>7329</v>
      </c>
      <c r="D201" s="353">
        <f>SUM(D174:D179)+SUM(D181:D185)+D187+D188+SUM(D190:D193)</f>
        <v>75132</v>
      </c>
    </row>
    <row r="202" spans="1:9">
      <c r="A202" s="350" t="s">
        <v>7521</v>
      </c>
      <c r="D202" s="353">
        <f>D180+D189+D194+D199</f>
        <v>11078</v>
      </c>
    </row>
    <row r="203" spans="1:9">
      <c r="A203" s="350" t="s">
        <v>7522</v>
      </c>
      <c r="D203" s="353">
        <f>D186+SUM(D195:D198)</f>
        <v>22656</v>
      </c>
    </row>
    <row r="204" spans="1:9">
      <c r="A204" s="350"/>
      <c r="D204" s="353"/>
    </row>
    <row r="205" spans="1:9">
      <c r="A205" s="350" t="s">
        <v>7523</v>
      </c>
      <c r="D205" s="353"/>
    </row>
    <row r="206" spans="1:9">
      <c r="A206" s="350"/>
      <c r="B206" s="350"/>
      <c r="D206" s="364"/>
    </row>
    <row r="207" spans="1:9">
      <c r="A207" s="350"/>
      <c r="B207" s="350"/>
      <c r="D207" s="364"/>
    </row>
    <row r="208" spans="1:9">
      <c r="D208" s="10" t="s">
        <v>285</v>
      </c>
      <c r="E208" s="16"/>
      <c r="F208" s="5" t="s">
        <v>4116</v>
      </c>
    </row>
    <row r="209" spans="1:9">
      <c r="D209" s="15">
        <v>2016</v>
      </c>
      <c r="F209" s="18" t="s">
        <v>286</v>
      </c>
    </row>
    <row r="210" spans="1:9">
      <c r="A210" s="350" t="s">
        <v>7524</v>
      </c>
      <c r="D210" s="353">
        <f t="shared" ref="D210" si="48">SUM(D211:D225)</f>
        <v>56445</v>
      </c>
    </row>
    <row r="211" spans="1:9">
      <c r="A211" s="350" t="s">
        <v>812</v>
      </c>
      <c r="B211" s="350" t="s">
        <v>7525</v>
      </c>
      <c r="C211" s="1" t="s">
        <v>7526</v>
      </c>
      <c r="D211" s="7">
        <v>5054</v>
      </c>
      <c r="F211" s="350" t="s">
        <v>7331</v>
      </c>
      <c r="G211" s="19"/>
      <c r="I211" s="1"/>
    </row>
    <row r="212" spans="1:9">
      <c r="A212" s="350" t="s">
        <v>813</v>
      </c>
      <c r="B212" s="350" t="s">
        <v>7527</v>
      </c>
      <c r="C212" s="1" t="s">
        <v>7528</v>
      </c>
      <c r="D212" s="7">
        <v>4204</v>
      </c>
      <c r="F212" s="350" t="s">
        <v>7331</v>
      </c>
      <c r="G212" s="19"/>
      <c r="I212" s="1"/>
    </row>
    <row r="213" spans="1:9">
      <c r="A213" s="350" t="s">
        <v>814</v>
      </c>
      <c r="B213" s="350" t="s">
        <v>7529</v>
      </c>
      <c r="C213" s="1" t="s">
        <v>7530</v>
      </c>
      <c r="D213" s="7">
        <v>5096</v>
      </c>
      <c r="F213" s="350" t="s">
        <v>7331</v>
      </c>
      <c r="G213" s="19"/>
      <c r="I213" s="1"/>
    </row>
    <row r="214" spans="1:9">
      <c r="A214" s="350" t="s">
        <v>815</v>
      </c>
      <c r="B214" s="350" t="s">
        <v>7531</v>
      </c>
      <c r="C214" s="1" t="s">
        <v>7532</v>
      </c>
      <c r="D214" s="7">
        <v>4648</v>
      </c>
      <c r="F214" s="350" t="s">
        <v>7331</v>
      </c>
      <c r="G214" s="19"/>
      <c r="I214" s="1"/>
    </row>
    <row r="215" spans="1:9">
      <c r="A215" s="350" t="s">
        <v>816</v>
      </c>
      <c r="B215" s="350" t="s">
        <v>7533</v>
      </c>
      <c r="C215" s="1" t="s">
        <v>7534</v>
      </c>
      <c r="D215" s="7">
        <v>2970</v>
      </c>
      <c r="F215" s="350" t="s">
        <v>7350</v>
      </c>
      <c r="G215" s="19"/>
      <c r="I215" s="1"/>
    </row>
    <row r="216" spans="1:9">
      <c r="A216" s="350" t="s">
        <v>826</v>
      </c>
      <c r="B216" s="350" t="s">
        <v>7535</v>
      </c>
      <c r="C216" s="1" t="s">
        <v>7536</v>
      </c>
      <c r="D216" s="7">
        <v>2950</v>
      </c>
      <c r="F216" s="350" t="s">
        <v>7331</v>
      </c>
      <c r="G216" s="19"/>
      <c r="I216" s="1"/>
    </row>
    <row r="217" spans="1:9">
      <c r="A217" s="350" t="s">
        <v>827</v>
      </c>
      <c r="B217" s="350" t="s">
        <v>7537</v>
      </c>
      <c r="C217" s="1" t="s">
        <v>7538</v>
      </c>
      <c r="D217" s="7">
        <v>2873</v>
      </c>
      <c r="F217" s="350" t="s">
        <v>7331</v>
      </c>
      <c r="G217" s="19"/>
      <c r="I217" s="1"/>
    </row>
    <row r="218" spans="1:9">
      <c r="A218" s="350" t="s">
        <v>828</v>
      </c>
      <c r="B218" s="350" t="s">
        <v>7539</v>
      </c>
      <c r="C218" s="1" t="s">
        <v>7540</v>
      </c>
      <c r="D218" s="7">
        <v>3085</v>
      </c>
      <c r="F218" s="350" t="s">
        <v>7331</v>
      </c>
      <c r="G218" s="19"/>
      <c r="I218" s="1"/>
    </row>
    <row r="219" spans="1:9">
      <c r="A219" s="350" t="s">
        <v>829</v>
      </c>
      <c r="B219" s="350" t="s">
        <v>7541</v>
      </c>
      <c r="C219" s="1" t="s">
        <v>7542</v>
      </c>
      <c r="D219" s="7">
        <v>3029</v>
      </c>
      <c r="F219" s="350" t="s">
        <v>7331</v>
      </c>
      <c r="G219" s="19"/>
      <c r="I219" s="1"/>
    </row>
    <row r="220" spans="1:9">
      <c r="A220" s="350" t="s">
        <v>830</v>
      </c>
      <c r="B220" s="350" t="s">
        <v>7543</v>
      </c>
      <c r="C220" s="1" t="s">
        <v>7544</v>
      </c>
      <c r="D220" s="7">
        <v>4795</v>
      </c>
      <c r="F220" s="350" t="s">
        <v>7331</v>
      </c>
      <c r="G220" s="19"/>
      <c r="I220" s="1"/>
    </row>
    <row r="221" spans="1:9">
      <c r="A221" s="350" t="s">
        <v>831</v>
      </c>
      <c r="B221" s="350" t="s">
        <v>7545</v>
      </c>
      <c r="C221" s="1" t="s">
        <v>7546</v>
      </c>
      <c r="D221" s="7">
        <v>4497</v>
      </c>
      <c r="F221" s="350" t="s">
        <v>7331</v>
      </c>
      <c r="G221" s="19"/>
      <c r="I221" s="1"/>
    </row>
    <row r="222" spans="1:9">
      <c r="A222" s="350" t="s">
        <v>832</v>
      </c>
      <c r="B222" s="350" t="s">
        <v>7547</v>
      </c>
      <c r="C222" s="1" t="s">
        <v>7548</v>
      </c>
      <c r="D222" s="7">
        <v>4187</v>
      </c>
      <c r="F222" s="350" t="s">
        <v>7331</v>
      </c>
      <c r="G222" s="19"/>
      <c r="I222" s="1"/>
    </row>
    <row r="223" spans="1:9">
      <c r="A223" s="350" t="s">
        <v>833</v>
      </c>
      <c r="B223" s="350" t="s">
        <v>7549</v>
      </c>
      <c r="C223" s="1" t="s">
        <v>7550</v>
      </c>
      <c r="D223" s="7">
        <v>1437</v>
      </c>
      <c r="F223" s="350" t="s">
        <v>7331</v>
      </c>
      <c r="G223" s="19"/>
      <c r="I223" s="1"/>
    </row>
    <row r="224" spans="1:9">
      <c r="A224" s="350" t="s">
        <v>834</v>
      </c>
      <c r="B224" s="350" t="s">
        <v>7551</v>
      </c>
      <c r="C224" s="1" t="s">
        <v>7552</v>
      </c>
      <c r="D224" s="7">
        <v>3115</v>
      </c>
      <c r="F224" s="350" t="s">
        <v>7331</v>
      </c>
      <c r="G224" s="19"/>
      <c r="I224" s="1"/>
    </row>
    <row r="225" spans="1:9">
      <c r="A225" s="350" t="s">
        <v>835</v>
      </c>
      <c r="B225" s="350" t="s">
        <v>7553</v>
      </c>
      <c r="C225" s="1" t="s">
        <v>7554</v>
      </c>
      <c r="D225" s="7">
        <v>4505</v>
      </c>
      <c r="F225" s="350" t="s">
        <v>7350</v>
      </c>
      <c r="G225" s="19"/>
      <c r="I225" s="1"/>
    </row>
    <row r="226" spans="1:9">
      <c r="D226" s="355"/>
    </row>
    <row r="227" spans="1:9">
      <c r="A227" s="350" t="s">
        <v>7555</v>
      </c>
      <c r="D227" s="353">
        <f>SUM(D211:D214)+SUM(D216:D224)</f>
        <v>48970</v>
      </c>
    </row>
    <row r="228" spans="1:9">
      <c r="A228" s="350" t="s">
        <v>7430</v>
      </c>
      <c r="D228" s="353">
        <f>D215+D225</f>
        <v>7475</v>
      </c>
    </row>
    <row r="229" spans="1:9">
      <c r="A229" s="350"/>
      <c r="D229" s="353"/>
    </row>
    <row r="230" spans="1:9">
      <c r="A230" s="350" t="s">
        <v>7556</v>
      </c>
      <c r="D230" s="353"/>
    </row>
    <row r="231" spans="1:9">
      <c r="A231" s="350"/>
      <c r="B231" s="350"/>
      <c r="D231" s="364"/>
    </row>
    <row r="232" spans="1:9">
      <c r="A232" s="350"/>
      <c r="B232" s="350"/>
      <c r="D232" s="364"/>
    </row>
    <row r="233" spans="1:9">
      <c r="D233" s="10" t="s">
        <v>285</v>
      </c>
      <c r="E233" s="16"/>
      <c r="F233" s="5" t="s">
        <v>4116</v>
      </c>
    </row>
    <row r="234" spans="1:9">
      <c r="D234" s="15">
        <v>2016</v>
      </c>
      <c r="F234" s="18" t="s">
        <v>286</v>
      </c>
    </row>
    <row r="235" spans="1:9">
      <c r="A235" s="350" t="s">
        <v>7557</v>
      </c>
      <c r="D235" s="353">
        <f t="shared" ref="D235" si="49">SUM(D236:D249)</f>
        <v>67541</v>
      </c>
    </row>
    <row r="236" spans="1:9">
      <c r="A236" s="350" t="s">
        <v>812</v>
      </c>
      <c r="B236" s="350" t="s">
        <v>7558</v>
      </c>
      <c r="C236" s="1" t="s">
        <v>7559</v>
      </c>
      <c r="D236" s="7">
        <v>5311</v>
      </c>
      <c r="F236" s="350" t="s">
        <v>7334</v>
      </c>
      <c r="G236" s="19"/>
      <c r="I236" s="1"/>
    </row>
    <row r="237" spans="1:9">
      <c r="A237" s="350" t="s">
        <v>813</v>
      </c>
      <c r="B237" s="350" t="s">
        <v>7560</v>
      </c>
      <c r="C237" s="1" t="s">
        <v>7561</v>
      </c>
      <c r="D237" s="7">
        <v>5133</v>
      </c>
      <c r="F237" s="350" t="s">
        <v>7334</v>
      </c>
      <c r="G237" s="19"/>
      <c r="I237" s="1"/>
    </row>
    <row r="238" spans="1:9">
      <c r="A238" s="350" t="s">
        <v>814</v>
      </c>
      <c r="B238" s="350" t="s">
        <v>7562</v>
      </c>
      <c r="C238" s="1" t="s">
        <v>7563</v>
      </c>
      <c r="D238" s="7">
        <v>4959</v>
      </c>
      <c r="F238" s="350" t="s">
        <v>7334</v>
      </c>
      <c r="G238" s="19"/>
      <c r="I238" s="1"/>
    </row>
    <row r="239" spans="1:9">
      <c r="A239" s="350" t="s">
        <v>815</v>
      </c>
      <c r="B239" s="350" t="s">
        <v>7564</v>
      </c>
      <c r="C239" s="1" t="s">
        <v>7565</v>
      </c>
      <c r="D239" s="7">
        <v>4740</v>
      </c>
      <c r="F239" s="350" t="s">
        <v>7334</v>
      </c>
      <c r="G239" s="19"/>
      <c r="I239" s="1"/>
    </row>
    <row r="240" spans="1:9">
      <c r="A240" s="350" t="s">
        <v>816</v>
      </c>
      <c r="B240" s="350" t="s">
        <v>7566</v>
      </c>
      <c r="C240" s="1" t="s">
        <v>7567</v>
      </c>
      <c r="D240" s="7">
        <v>5090</v>
      </c>
      <c r="F240" s="350" t="s">
        <v>7334</v>
      </c>
      <c r="G240" s="19"/>
      <c r="I240" s="1"/>
    </row>
    <row r="241" spans="1:9">
      <c r="A241" s="350" t="s">
        <v>826</v>
      </c>
      <c r="B241" s="350" t="s">
        <v>7568</v>
      </c>
      <c r="C241" s="1" t="s">
        <v>7569</v>
      </c>
      <c r="D241" s="7">
        <v>4960</v>
      </c>
      <c r="F241" s="350" t="s">
        <v>7334</v>
      </c>
      <c r="G241" s="19"/>
      <c r="I241" s="1"/>
    </row>
    <row r="242" spans="1:9">
      <c r="A242" s="350" t="s">
        <v>827</v>
      </c>
      <c r="B242" s="350" t="s">
        <v>7570</v>
      </c>
      <c r="C242" s="1" t="s">
        <v>7571</v>
      </c>
      <c r="D242" s="7">
        <v>3679</v>
      </c>
      <c r="F242" s="350" t="s">
        <v>7334</v>
      </c>
      <c r="G242" s="19"/>
      <c r="I242" s="1"/>
    </row>
    <row r="243" spans="1:9">
      <c r="A243" s="350" t="s">
        <v>828</v>
      </c>
      <c r="B243" s="350" t="s">
        <v>7572</v>
      </c>
      <c r="C243" s="1" t="s">
        <v>7573</v>
      </c>
      <c r="D243" s="7">
        <v>4870</v>
      </c>
      <c r="F243" s="350" t="s">
        <v>7334</v>
      </c>
      <c r="G243" s="19"/>
      <c r="I243" s="1"/>
    </row>
    <row r="244" spans="1:9">
      <c r="A244" s="350" t="s">
        <v>829</v>
      </c>
      <c r="B244" s="350" t="s">
        <v>7574</v>
      </c>
      <c r="C244" s="1" t="s">
        <v>7575</v>
      </c>
      <c r="D244" s="7">
        <v>4663</v>
      </c>
      <c r="F244" s="350" t="s">
        <v>7334</v>
      </c>
      <c r="G244" s="19"/>
      <c r="I244" s="1"/>
    </row>
    <row r="245" spans="1:9">
      <c r="A245" s="350" t="s">
        <v>830</v>
      </c>
      <c r="B245" s="350" t="s">
        <v>7576</v>
      </c>
      <c r="C245" s="1" t="s">
        <v>7577</v>
      </c>
      <c r="D245" s="7">
        <v>4495</v>
      </c>
      <c r="F245" s="350" t="s">
        <v>7334</v>
      </c>
      <c r="G245" s="19"/>
      <c r="I245" s="1"/>
    </row>
    <row r="246" spans="1:9">
      <c r="A246" s="350" t="s">
        <v>831</v>
      </c>
      <c r="B246" s="350" t="s">
        <v>504</v>
      </c>
      <c r="C246" s="1" t="s">
        <v>7578</v>
      </c>
      <c r="D246" s="7">
        <v>5259</v>
      </c>
      <c r="F246" s="350" t="s">
        <v>7352</v>
      </c>
      <c r="G246" s="19"/>
      <c r="I246" s="1"/>
    </row>
    <row r="247" spans="1:9">
      <c r="A247" s="350" t="s">
        <v>832</v>
      </c>
      <c r="B247" s="350" t="s">
        <v>5043</v>
      </c>
      <c r="C247" s="1" t="s">
        <v>7579</v>
      </c>
      <c r="D247" s="7">
        <v>4853</v>
      </c>
      <c r="F247" s="350" t="s">
        <v>7334</v>
      </c>
      <c r="G247" s="19"/>
      <c r="I247" s="1"/>
    </row>
    <row r="248" spans="1:9">
      <c r="A248" s="350" t="s">
        <v>833</v>
      </c>
      <c r="B248" s="350" t="s">
        <v>1026</v>
      </c>
      <c r="C248" s="1" t="s">
        <v>7580</v>
      </c>
      <c r="D248" s="7">
        <v>5008</v>
      </c>
      <c r="F248" s="350" t="s">
        <v>7334</v>
      </c>
      <c r="G248" s="19"/>
      <c r="I248" s="1"/>
    </row>
    <row r="249" spans="1:9">
      <c r="A249" s="350" t="s">
        <v>834</v>
      </c>
      <c r="B249" s="350" t="s">
        <v>5586</v>
      </c>
      <c r="C249" s="1" t="s">
        <v>7581</v>
      </c>
      <c r="D249" s="7">
        <v>4521</v>
      </c>
      <c r="F249" s="350" t="s">
        <v>7352</v>
      </c>
      <c r="G249" s="19"/>
      <c r="I249" s="1"/>
    </row>
    <row r="250" spans="1:9">
      <c r="D250" s="355"/>
    </row>
    <row r="251" spans="1:9">
      <c r="A251" s="350" t="s">
        <v>7465</v>
      </c>
      <c r="D251" s="353">
        <f>SUM(D236:D245)+D247+D248</f>
        <v>57761</v>
      </c>
    </row>
    <row r="252" spans="1:9">
      <c r="A252" s="350" t="s">
        <v>7582</v>
      </c>
      <c r="D252" s="353">
        <f>D246+D249</f>
        <v>9780</v>
      </c>
    </row>
    <row r="253" spans="1:9">
      <c r="A253" s="350"/>
      <c r="D253" s="353"/>
    </row>
    <row r="254" spans="1:9">
      <c r="A254" s="350" t="s">
        <v>7583</v>
      </c>
      <c r="D254" s="353"/>
    </row>
    <row r="255" spans="1:9">
      <c r="A255" s="350"/>
      <c r="B255" s="350"/>
      <c r="D255" s="364"/>
    </row>
    <row r="256" spans="1:9">
      <c r="A256" s="350"/>
      <c r="B256" s="350"/>
      <c r="D256" s="364"/>
    </row>
    <row r="257" spans="1:9">
      <c r="D257" s="10" t="s">
        <v>285</v>
      </c>
      <c r="E257" s="16"/>
      <c r="F257" s="5" t="s">
        <v>4116</v>
      </c>
    </row>
    <row r="258" spans="1:9">
      <c r="D258" s="15">
        <v>2016</v>
      </c>
      <c r="F258" s="18" t="s">
        <v>286</v>
      </c>
    </row>
    <row r="259" spans="1:9">
      <c r="A259" s="350" t="s">
        <v>7584</v>
      </c>
      <c r="D259" s="353">
        <f t="shared" ref="D259" si="50">SUM(D260:D283)</f>
        <v>127528</v>
      </c>
    </row>
    <row r="260" spans="1:9">
      <c r="A260" s="350" t="s">
        <v>812</v>
      </c>
      <c r="B260" s="350" t="s">
        <v>7585</v>
      </c>
      <c r="C260" s="1" t="s">
        <v>7586</v>
      </c>
      <c r="D260" s="7">
        <v>4102</v>
      </c>
      <c r="F260" s="350" t="s">
        <v>7344</v>
      </c>
      <c r="G260" s="19"/>
      <c r="I260" s="1"/>
    </row>
    <row r="261" spans="1:9" ht="15.75" customHeight="1">
      <c r="A261" s="350" t="s">
        <v>813</v>
      </c>
      <c r="B261" s="350" t="s">
        <v>7587</v>
      </c>
      <c r="C261" s="1" t="s">
        <v>7588</v>
      </c>
      <c r="D261" s="8">
        <v>4691</v>
      </c>
      <c r="F261" s="350" t="s">
        <v>7331</v>
      </c>
      <c r="G261" s="20"/>
      <c r="I261" s="1"/>
    </row>
    <row r="262" spans="1:9">
      <c r="A262" s="350" t="s">
        <v>814</v>
      </c>
      <c r="B262" s="350" t="s">
        <v>7589</v>
      </c>
      <c r="C262" s="1" t="s">
        <v>7590</v>
      </c>
      <c r="D262" s="8">
        <v>6367</v>
      </c>
      <c r="F262" s="350" t="s">
        <v>7331</v>
      </c>
      <c r="G262" s="20"/>
      <c r="I262" s="1"/>
    </row>
    <row r="263" spans="1:9">
      <c r="A263" s="350" t="s">
        <v>815</v>
      </c>
      <c r="B263" s="350" t="s">
        <v>7591</v>
      </c>
      <c r="C263" s="1" t="s">
        <v>7592</v>
      </c>
      <c r="D263" s="7">
        <v>8026</v>
      </c>
      <c r="F263" s="350" t="s">
        <v>7336</v>
      </c>
      <c r="G263" s="19"/>
      <c r="I263" s="1"/>
    </row>
    <row r="264" spans="1:9">
      <c r="A264" s="350" t="s">
        <v>816</v>
      </c>
      <c r="B264" s="350" t="s">
        <v>7593</v>
      </c>
      <c r="C264" s="1" t="s">
        <v>7594</v>
      </c>
      <c r="D264" s="8">
        <v>2181</v>
      </c>
      <c r="F264" s="350" t="s">
        <v>7331</v>
      </c>
      <c r="G264" s="20"/>
      <c r="I264" s="1"/>
    </row>
    <row r="265" spans="1:9">
      <c r="A265" s="350" t="s">
        <v>826</v>
      </c>
      <c r="B265" s="350" t="s">
        <v>7595</v>
      </c>
      <c r="C265" s="1" t="s">
        <v>7596</v>
      </c>
      <c r="D265" s="7">
        <v>4391</v>
      </c>
      <c r="F265" s="350" t="s">
        <v>7336</v>
      </c>
      <c r="G265" s="19"/>
      <c r="I265" s="1"/>
    </row>
    <row r="266" spans="1:9">
      <c r="A266" s="350" t="s">
        <v>827</v>
      </c>
      <c r="B266" s="350" t="s">
        <v>7597</v>
      </c>
      <c r="C266" s="1" t="s">
        <v>7598</v>
      </c>
      <c r="D266" s="7">
        <v>4495</v>
      </c>
      <c r="F266" s="350" t="s">
        <v>7336</v>
      </c>
      <c r="G266" s="19"/>
      <c r="I266" s="1"/>
    </row>
    <row r="267" spans="1:9">
      <c r="A267" s="350" t="s">
        <v>828</v>
      </c>
      <c r="B267" s="350" t="s">
        <v>7599</v>
      </c>
      <c r="C267" s="1" t="s">
        <v>7600</v>
      </c>
      <c r="D267" s="7">
        <v>6438</v>
      </c>
      <c r="F267" s="350" t="s">
        <v>7336</v>
      </c>
      <c r="G267" s="19"/>
      <c r="I267" s="1"/>
    </row>
    <row r="268" spans="1:9">
      <c r="A268" s="350" t="s">
        <v>829</v>
      </c>
      <c r="B268" s="350" t="s">
        <v>7601</v>
      </c>
      <c r="C268" s="1" t="s">
        <v>7602</v>
      </c>
      <c r="D268" s="7">
        <v>4760</v>
      </c>
      <c r="F268" s="350" t="s">
        <v>7336</v>
      </c>
      <c r="G268" s="19"/>
      <c r="I268" s="1"/>
    </row>
    <row r="269" spans="1:9">
      <c r="A269" s="350" t="s">
        <v>830</v>
      </c>
      <c r="B269" s="350" t="s">
        <v>7603</v>
      </c>
      <c r="C269" s="1" t="s">
        <v>7604</v>
      </c>
      <c r="D269" s="8">
        <v>6613</v>
      </c>
      <c r="F269" s="350" t="s">
        <v>7354</v>
      </c>
      <c r="G269" s="20"/>
      <c r="I269" s="1"/>
    </row>
    <row r="270" spans="1:9">
      <c r="A270" s="350" t="s">
        <v>831</v>
      </c>
      <c r="B270" s="350" t="s">
        <v>7605</v>
      </c>
      <c r="C270" s="1" t="s">
        <v>7606</v>
      </c>
      <c r="D270" s="7">
        <v>4888</v>
      </c>
      <c r="F270" s="350" t="s">
        <v>7336</v>
      </c>
      <c r="G270" s="19"/>
      <c r="I270" s="1"/>
    </row>
    <row r="271" spans="1:9">
      <c r="A271" s="350" t="s">
        <v>832</v>
      </c>
      <c r="B271" s="350" t="s">
        <v>7607</v>
      </c>
      <c r="C271" s="1" t="s">
        <v>7608</v>
      </c>
      <c r="D271" s="7">
        <v>7706</v>
      </c>
      <c r="F271" s="350" t="s">
        <v>7336</v>
      </c>
      <c r="G271" s="19"/>
      <c r="I271" s="1"/>
    </row>
    <row r="272" spans="1:9">
      <c r="A272" s="350" t="s">
        <v>833</v>
      </c>
      <c r="B272" s="350" t="s">
        <v>7609</v>
      </c>
      <c r="C272" s="1" t="s">
        <v>7610</v>
      </c>
      <c r="D272" s="7">
        <v>4307</v>
      </c>
      <c r="F272" s="350" t="s">
        <v>7336</v>
      </c>
      <c r="G272" s="19"/>
      <c r="I272" s="1"/>
    </row>
    <row r="273" spans="1:9">
      <c r="A273" s="350" t="s">
        <v>834</v>
      </c>
      <c r="B273" s="350" t="s">
        <v>7611</v>
      </c>
      <c r="C273" s="1" t="s">
        <v>7612</v>
      </c>
      <c r="D273" s="7">
        <v>6751</v>
      </c>
      <c r="F273" s="350" t="s">
        <v>7336</v>
      </c>
      <c r="G273" s="19"/>
      <c r="I273" s="1"/>
    </row>
    <row r="274" spans="1:9">
      <c r="A274" s="350" t="s">
        <v>835</v>
      </c>
      <c r="B274" s="350" t="s">
        <v>7613</v>
      </c>
      <c r="C274" s="1" t="s">
        <v>7614</v>
      </c>
      <c r="D274" s="8">
        <v>4274</v>
      </c>
      <c r="F274" s="350" t="s">
        <v>7344</v>
      </c>
      <c r="G274" s="20"/>
      <c r="I274" s="1"/>
    </row>
    <row r="275" spans="1:9">
      <c r="A275" s="350" t="s">
        <v>836</v>
      </c>
      <c r="B275" s="350" t="s">
        <v>740</v>
      </c>
      <c r="C275" s="1" t="s">
        <v>7615</v>
      </c>
      <c r="D275" s="7">
        <v>6572</v>
      </c>
      <c r="F275" s="350" t="s">
        <v>7336</v>
      </c>
      <c r="G275" s="19"/>
      <c r="I275" s="1"/>
    </row>
    <row r="276" spans="1:9">
      <c r="A276" s="350" t="s">
        <v>837</v>
      </c>
      <c r="B276" s="350" t="s">
        <v>7616</v>
      </c>
      <c r="C276" s="1" t="s">
        <v>7617</v>
      </c>
      <c r="D276" s="8">
        <v>4472</v>
      </c>
      <c r="F276" s="350" t="s">
        <v>7326</v>
      </c>
      <c r="G276" s="20"/>
      <c r="I276" s="1"/>
    </row>
    <row r="277" spans="1:9">
      <c r="A277" s="350" t="s">
        <v>838</v>
      </c>
      <c r="B277" s="350" t="s">
        <v>7618</v>
      </c>
      <c r="C277" s="1" t="s">
        <v>7619</v>
      </c>
      <c r="D277" s="8">
        <v>6347</v>
      </c>
      <c r="F277" s="350" t="s">
        <v>7344</v>
      </c>
      <c r="G277" s="20"/>
      <c r="I277" s="1"/>
    </row>
    <row r="278" spans="1:9">
      <c r="A278" s="350" t="s">
        <v>840</v>
      </c>
      <c r="B278" s="350" t="s">
        <v>7620</v>
      </c>
      <c r="C278" s="1" t="s">
        <v>7621</v>
      </c>
      <c r="D278" s="8">
        <v>6223</v>
      </c>
      <c r="F278" s="350" t="s">
        <v>7344</v>
      </c>
      <c r="G278" s="20"/>
      <c r="I278" s="1"/>
    </row>
    <row r="279" spans="1:9">
      <c r="A279" s="350" t="s">
        <v>841</v>
      </c>
      <c r="B279" s="350" t="s">
        <v>7622</v>
      </c>
      <c r="C279" s="1" t="s">
        <v>7623</v>
      </c>
      <c r="D279" s="7">
        <v>6593</v>
      </c>
      <c r="F279" s="350" t="s">
        <v>7336</v>
      </c>
      <c r="G279" s="19"/>
      <c r="I279" s="1"/>
    </row>
    <row r="280" spans="1:9">
      <c r="A280" s="350">
        <v>21</v>
      </c>
      <c r="B280" s="350" t="s">
        <v>7624</v>
      </c>
      <c r="C280" s="1" t="s">
        <v>7625</v>
      </c>
      <c r="D280" s="7">
        <v>4230</v>
      </c>
      <c r="F280" s="350" t="s">
        <v>7336</v>
      </c>
      <c r="G280" s="19"/>
      <c r="I280" s="1"/>
    </row>
    <row r="281" spans="1:9">
      <c r="A281" s="350" t="s">
        <v>879</v>
      </c>
      <c r="B281" s="350" t="s">
        <v>679</v>
      </c>
      <c r="C281" s="1" t="s">
        <v>7626</v>
      </c>
      <c r="D281" s="7">
        <v>4542</v>
      </c>
      <c r="F281" s="350" t="s">
        <v>7336</v>
      </c>
      <c r="G281" s="19"/>
      <c r="I281" s="1"/>
    </row>
    <row r="282" spans="1:9">
      <c r="A282" s="350" t="s">
        <v>880</v>
      </c>
      <c r="B282" s="350" t="s">
        <v>7627</v>
      </c>
      <c r="C282" s="1" t="s">
        <v>7628</v>
      </c>
      <c r="D282" s="7">
        <v>4408</v>
      </c>
      <c r="F282" s="350" t="s">
        <v>7336</v>
      </c>
      <c r="G282" s="19"/>
      <c r="I282" s="1"/>
    </row>
    <row r="283" spans="1:9">
      <c r="A283" s="350" t="s">
        <v>721</v>
      </c>
      <c r="B283" s="350" t="s">
        <v>7629</v>
      </c>
      <c r="C283" s="1" t="s">
        <v>7630</v>
      </c>
      <c r="D283" s="8">
        <v>4151</v>
      </c>
      <c r="F283" s="350" t="s">
        <v>7331</v>
      </c>
      <c r="G283" s="20"/>
      <c r="I283" s="1"/>
    </row>
    <row r="284" spans="1:9">
      <c r="A284" s="350"/>
      <c r="B284" s="350"/>
      <c r="C284" s="1"/>
      <c r="D284" s="8"/>
      <c r="F284" s="350"/>
      <c r="G284" s="20"/>
      <c r="I284" s="1"/>
    </row>
    <row r="285" spans="1:9">
      <c r="A285" s="350" t="s">
        <v>7464</v>
      </c>
      <c r="B285" s="350"/>
      <c r="C285" s="1"/>
      <c r="D285" s="8">
        <f>D276</f>
        <v>4472</v>
      </c>
      <c r="F285" s="350"/>
      <c r="G285" s="20"/>
      <c r="I285" s="1"/>
    </row>
    <row r="286" spans="1:9">
      <c r="A286" s="350" t="s">
        <v>7555</v>
      </c>
      <c r="D286" s="353">
        <f>D261+D262+D264+D283</f>
        <v>17390</v>
      </c>
    </row>
    <row r="287" spans="1:9">
      <c r="A287" s="350" t="s">
        <v>7336</v>
      </c>
      <c r="D287" s="353">
        <f t="shared" ref="D287" si="51">D263+SUM(D265:D268)+SUM(D270:D273)+D275+SUM(D279:D282)</f>
        <v>78107</v>
      </c>
    </row>
    <row r="288" spans="1:9">
      <c r="A288" s="350" t="s">
        <v>7344</v>
      </c>
      <c r="D288" s="353">
        <f>D260+D274+D277+D278</f>
        <v>20946</v>
      </c>
    </row>
    <row r="289" spans="1:6">
      <c r="A289" s="350" t="s">
        <v>7354</v>
      </c>
      <c r="D289" s="353">
        <f>D269</f>
        <v>6613</v>
      </c>
    </row>
    <row r="290" spans="1:6">
      <c r="A290" s="350"/>
      <c r="D290" s="353"/>
    </row>
    <row r="291" spans="1:6">
      <c r="A291" s="350" t="s">
        <v>7631</v>
      </c>
      <c r="D291" s="353"/>
    </row>
    <row r="292" spans="1:6">
      <c r="A292" s="365" t="s">
        <v>7632</v>
      </c>
      <c r="B292" s="350"/>
      <c r="D292" s="364"/>
    </row>
    <row r="293" spans="1:6">
      <c r="A293" s="365"/>
      <c r="B293" s="350"/>
      <c r="D293" s="364"/>
    </row>
    <row r="294" spans="1:6">
      <c r="A294" s="365"/>
      <c r="B294" s="350"/>
      <c r="D294" s="364"/>
    </row>
    <row r="295" spans="1:6">
      <c r="D295" s="10" t="s">
        <v>285</v>
      </c>
      <c r="E295" s="16"/>
      <c r="F295" s="5" t="s">
        <v>4116</v>
      </c>
    </row>
    <row r="296" spans="1:6">
      <c r="D296" s="15">
        <v>2016</v>
      </c>
      <c r="F296" s="18" t="s">
        <v>286</v>
      </c>
    </row>
    <row r="297" spans="1:6">
      <c r="A297" s="350" t="s">
        <v>7633</v>
      </c>
      <c r="D297" s="353">
        <f>SUM(D298:D324)</f>
        <v>120001</v>
      </c>
    </row>
    <row r="298" spans="1:6">
      <c r="A298" s="350" t="s">
        <v>812</v>
      </c>
      <c r="B298" s="350" t="s">
        <v>7634</v>
      </c>
      <c r="C298" s="1" t="s">
        <v>7635</v>
      </c>
      <c r="D298" s="7">
        <v>6424</v>
      </c>
      <c r="F298" s="350" t="s">
        <v>7337</v>
      </c>
    </row>
    <row r="299" spans="1:6">
      <c r="A299" s="350" t="s">
        <v>813</v>
      </c>
      <c r="B299" s="350" t="s">
        <v>7636</v>
      </c>
      <c r="C299" s="1" t="s">
        <v>7637</v>
      </c>
      <c r="D299" s="357">
        <v>4233</v>
      </c>
      <c r="F299" s="350" t="s">
        <v>7343</v>
      </c>
    </row>
    <row r="300" spans="1:6">
      <c r="A300" s="350" t="s">
        <v>814</v>
      </c>
      <c r="B300" s="350" t="s">
        <v>883</v>
      </c>
      <c r="C300" s="1" t="s">
        <v>7638</v>
      </c>
      <c r="D300" s="7">
        <v>6662</v>
      </c>
      <c r="F300" s="350" t="s">
        <v>7337</v>
      </c>
    </row>
    <row r="301" spans="1:6">
      <c r="A301" s="350" t="s">
        <v>815</v>
      </c>
      <c r="B301" s="350" t="s">
        <v>7639</v>
      </c>
      <c r="C301" s="1" t="s">
        <v>7640</v>
      </c>
      <c r="D301" s="7">
        <v>3275</v>
      </c>
      <c r="F301" s="350" t="s">
        <v>7337</v>
      </c>
    </row>
    <row r="302" spans="1:6">
      <c r="A302" s="350" t="s">
        <v>816</v>
      </c>
      <c r="B302" s="350" t="s">
        <v>7641</v>
      </c>
      <c r="C302" s="1" t="s">
        <v>7642</v>
      </c>
      <c r="D302" s="7">
        <v>1468</v>
      </c>
      <c r="F302" s="350" t="s">
        <v>7343</v>
      </c>
    </row>
    <row r="303" spans="1:6">
      <c r="A303" s="350" t="s">
        <v>826</v>
      </c>
      <c r="B303" s="350" t="s">
        <v>7643</v>
      </c>
      <c r="C303" s="1" t="s">
        <v>7644</v>
      </c>
      <c r="D303" s="7">
        <v>2334</v>
      </c>
      <c r="F303" s="350" t="s">
        <v>7343</v>
      </c>
    </row>
    <row r="304" spans="1:6">
      <c r="A304" s="350" t="s">
        <v>827</v>
      </c>
      <c r="B304" s="350" t="s">
        <v>7645</v>
      </c>
      <c r="C304" s="1" t="s">
        <v>7646</v>
      </c>
      <c r="D304" s="7">
        <v>1845</v>
      </c>
      <c r="F304" s="350" t="s">
        <v>7337</v>
      </c>
    </row>
    <row r="305" spans="1:6">
      <c r="A305" s="350" t="s">
        <v>828</v>
      </c>
      <c r="B305" s="350" t="s">
        <v>7647</v>
      </c>
      <c r="C305" s="1" t="s">
        <v>7648</v>
      </c>
      <c r="D305" s="7">
        <v>4180</v>
      </c>
      <c r="F305" s="350" t="s">
        <v>7343</v>
      </c>
    </row>
    <row r="306" spans="1:6">
      <c r="A306" s="350" t="s">
        <v>829</v>
      </c>
      <c r="B306" s="350" t="s">
        <v>7649</v>
      </c>
      <c r="C306" s="1" t="s">
        <v>7650</v>
      </c>
      <c r="D306" s="7">
        <v>2138</v>
      </c>
      <c r="F306" s="350" t="s">
        <v>7343</v>
      </c>
    </row>
    <row r="307" spans="1:6">
      <c r="A307" s="350" t="s">
        <v>830</v>
      </c>
      <c r="B307" s="350" t="s">
        <v>7651</v>
      </c>
      <c r="C307" s="1" t="s">
        <v>7652</v>
      </c>
      <c r="D307" s="7">
        <v>4126</v>
      </c>
      <c r="F307" s="350" t="s">
        <v>7337</v>
      </c>
    </row>
    <row r="308" spans="1:6">
      <c r="A308" s="350" t="s">
        <v>831</v>
      </c>
      <c r="B308" s="350" t="s">
        <v>7653</v>
      </c>
      <c r="C308" s="1" t="s">
        <v>7654</v>
      </c>
      <c r="D308" s="7">
        <v>6732</v>
      </c>
      <c r="F308" s="350" t="s">
        <v>7337</v>
      </c>
    </row>
    <row r="309" spans="1:6">
      <c r="A309" s="350" t="s">
        <v>832</v>
      </c>
      <c r="B309" s="350" t="s">
        <v>7655</v>
      </c>
      <c r="C309" s="1" t="s">
        <v>7656</v>
      </c>
      <c r="D309" s="7">
        <v>4118</v>
      </c>
      <c r="F309" s="350" t="s">
        <v>7337</v>
      </c>
    </row>
    <row r="310" spans="1:6">
      <c r="A310" s="350" t="s">
        <v>833</v>
      </c>
      <c r="B310" s="350" t="s">
        <v>7657</v>
      </c>
      <c r="C310" s="1" t="s">
        <v>7658</v>
      </c>
      <c r="D310" s="7">
        <v>1983</v>
      </c>
      <c r="F310" s="350" t="s">
        <v>7343</v>
      </c>
    </row>
    <row r="311" spans="1:6">
      <c r="A311" s="350" t="s">
        <v>834</v>
      </c>
      <c r="B311" s="350" t="s">
        <v>7659</v>
      </c>
      <c r="C311" s="1" t="s">
        <v>7660</v>
      </c>
      <c r="D311" s="7">
        <v>7104</v>
      </c>
      <c r="F311" s="350" t="s">
        <v>7337</v>
      </c>
    </row>
    <row r="312" spans="1:6">
      <c r="A312" s="350" t="s">
        <v>835</v>
      </c>
      <c r="B312" s="350" t="s">
        <v>7661</v>
      </c>
      <c r="C312" s="1" t="s">
        <v>7662</v>
      </c>
      <c r="D312" s="7">
        <v>6223</v>
      </c>
      <c r="F312" s="350" t="s">
        <v>7337</v>
      </c>
    </row>
    <row r="313" spans="1:6">
      <c r="A313" s="350" t="s">
        <v>836</v>
      </c>
      <c r="B313" s="350" t="s">
        <v>7663</v>
      </c>
      <c r="C313" s="1" t="s">
        <v>7664</v>
      </c>
      <c r="D313" s="7">
        <v>5794</v>
      </c>
      <c r="F313" s="350" t="s">
        <v>7337</v>
      </c>
    </row>
    <row r="314" spans="1:6">
      <c r="A314" s="350" t="s">
        <v>837</v>
      </c>
      <c r="B314" s="350" t="s">
        <v>7665</v>
      </c>
      <c r="C314" s="1" t="s">
        <v>7666</v>
      </c>
      <c r="D314" s="7">
        <v>2087</v>
      </c>
      <c r="F314" s="350" t="s">
        <v>7343</v>
      </c>
    </row>
    <row r="315" spans="1:6">
      <c r="A315" s="350" t="s">
        <v>838</v>
      </c>
      <c r="B315" s="350" t="s">
        <v>7667</v>
      </c>
      <c r="C315" s="1" t="s">
        <v>7668</v>
      </c>
      <c r="D315" s="7">
        <v>4861</v>
      </c>
      <c r="F315" s="350" t="s">
        <v>7337</v>
      </c>
    </row>
    <row r="316" spans="1:6">
      <c r="A316" s="350" t="s">
        <v>840</v>
      </c>
      <c r="B316" s="350" t="s">
        <v>6738</v>
      </c>
      <c r="C316" s="1" t="s">
        <v>7669</v>
      </c>
      <c r="D316" s="7">
        <v>5834</v>
      </c>
      <c r="F316" s="350" t="s">
        <v>7337</v>
      </c>
    </row>
    <row r="317" spans="1:6">
      <c r="A317" s="350" t="s">
        <v>841</v>
      </c>
      <c r="B317" s="350" t="s">
        <v>2912</v>
      </c>
      <c r="C317" s="1" t="s">
        <v>7670</v>
      </c>
      <c r="D317" s="7">
        <v>3918</v>
      </c>
      <c r="F317" s="350" t="s">
        <v>7337</v>
      </c>
    </row>
    <row r="318" spans="1:6">
      <c r="A318" s="350" t="s">
        <v>878</v>
      </c>
      <c r="B318" s="350" t="s">
        <v>7671</v>
      </c>
      <c r="C318" s="1" t="s">
        <v>7672</v>
      </c>
      <c r="D318" s="357">
        <v>7224</v>
      </c>
      <c r="F318" s="350" t="s">
        <v>7337</v>
      </c>
    </row>
    <row r="319" spans="1:6">
      <c r="A319" s="350" t="s">
        <v>879</v>
      </c>
      <c r="B319" s="350" t="s">
        <v>7673</v>
      </c>
      <c r="C319" s="1" t="s">
        <v>7674</v>
      </c>
      <c r="D319" s="266">
        <v>6329</v>
      </c>
      <c r="F319" s="350" t="s">
        <v>7343</v>
      </c>
    </row>
    <row r="320" spans="1:6">
      <c r="A320" s="350" t="s">
        <v>880</v>
      </c>
      <c r="B320" s="350" t="s">
        <v>7675</v>
      </c>
      <c r="C320" s="1" t="s">
        <v>7676</v>
      </c>
      <c r="D320" s="7">
        <v>5864</v>
      </c>
      <c r="F320" s="350" t="s">
        <v>7343</v>
      </c>
    </row>
    <row r="321" spans="1:9">
      <c r="A321" s="350" t="s">
        <v>721</v>
      </c>
      <c r="B321" s="350" t="s">
        <v>7677</v>
      </c>
      <c r="C321" s="1" t="s">
        <v>7678</v>
      </c>
      <c r="D321" s="7">
        <v>3822</v>
      </c>
      <c r="F321" s="350" t="s">
        <v>7343</v>
      </c>
    </row>
    <row r="322" spans="1:9">
      <c r="A322" s="350" t="s">
        <v>722</v>
      </c>
      <c r="B322" s="350" t="s">
        <v>7679</v>
      </c>
      <c r="C322" s="1" t="s">
        <v>7680</v>
      </c>
      <c r="D322" s="7">
        <v>5747</v>
      </c>
      <c r="F322" s="350" t="s">
        <v>7343</v>
      </c>
    </row>
    <row r="323" spans="1:9">
      <c r="A323" s="350" t="s">
        <v>723</v>
      </c>
      <c r="B323" s="350" t="s">
        <v>7681</v>
      </c>
      <c r="C323" s="1" t="s">
        <v>7682</v>
      </c>
      <c r="D323" s="7">
        <v>1627</v>
      </c>
      <c r="F323" s="350" t="s">
        <v>7343</v>
      </c>
    </row>
    <row r="324" spans="1:9">
      <c r="A324" s="350" t="s">
        <v>733</v>
      </c>
      <c r="B324" s="350" t="s">
        <v>7683</v>
      </c>
      <c r="C324" s="1" t="s">
        <v>7684</v>
      </c>
      <c r="D324" s="7">
        <v>4049</v>
      </c>
      <c r="F324" s="350" t="s">
        <v>7343</v>
      </c>
    </row>
    <row r="325" spans="1:9">
      <c r="A325" s="350"/>
      <c r="B325" s="21"/>
      <c r="C325" s="21"/>
      <c r="D325" s="8"/>
      <c r="F325" s="350"/>
    </row>
    <row r="326" spans="1:9">
      <c r="A326" s="350" t="s">
        <v>7337</v>
      </c>
      <c r="D326" s="353">
        <f>D298+D300+D301+D304+SUM(D307:D309)+SUM(D311:D313)+SUM(D315:D318)</f>
        <v>74140</v>
      </c>
      <c r="F326" s="350"/>
    </row>
    <row r="327" spans="1:9">
      <c r="A327" s="350" t="s">
        <v>7685</v>
      </c>
      <c r="D327" s="353">
        <f>D299+D302+D303+D305+D306+D310+D314+SUM(D319:D324)</f>
        <v>45861</v>
      </c>
      <c r="F327" s="350"/>
    </row>
    <row r="328" spans="1:9">
      <c r="D328" s="7"/>
      <c r="F328" s="350"/>
    </row>
    <row r="329" spans="1:9">
      <c r="A329" s="351" t="s">
        <v>7686</v>
      </c>
      <c r="D329" s="8"/>
    </row>
    <row r="330" spans="1:9">
      <c r="D330" s="8"/>
    </row>
    <row r="332" spans="1:9">
      <c r="D332" s="10" t="s">
        <v>285</v>
      </c>
      <c r="E332" s="16"/>
      <c r="F332" s="5" t="s">
        <v>4116</v>
      </c>
    </row>
    <row r="333" spans="1:9">
      <c r="D333" s="15">
        <v>2016</v>
      </c>
      <c r="F333" s="18" t="s">
        <v>286</v>
      </c>
    </row>
    <row r="334" spans="1:9">
      <c r="A334" s="350" t="s">
        <v>7687</v>
      </c>
      <c r="D334" s="353">
        <f>SUM(D335:D366)</f>
        <v>97897</v>
      </c>
    </row>
    <row r="335" spans="1:9">
      <c r="A335" s="350" t="s">
        <v>812</v>
      </c>
      <c r="B335" s="350" t="s">
        <v>7688</v>
      </c>
      <c r="C335" s="1" t="s">
        <v>7689</v>
      </c>
      <c r="D335" s="7">
        <v>1693</v>
      </c>
      <c r="F335" s="350" t="s">
        <v>7690</v>
      </c>
      <c r="G335" s="19"/>
      <c r="I335" s="1"/>
    </row>
    <row r="336" spans="1:9">
      <c r="A336" s="350" t="s">
        <v>813</v>
      </c>
      <c r="B336" s="350" t="s">
        <v>7691</v>
      </c>
      <c r="C336" s="1" t="s">
        <v>7692</v>
      </c>
      <c r="D336" s="7">
        <v>3433</v>
      </c>
      <c r="F336" s="350" t="s">
        <v>7690</v>
      </c>
      <c r="G336" s="19"/>
      <c r="I336" s="1"/>
    </row>
    <row r="337" spans="1:9">
      <c r="A337" s="350" t="s">
        <v>814</v>
      </c>
      <c r="B337" s="350" t="s">
        <v>7693</v>
      </c>
      <c r="C337" s="1" t="s">
        <v>7694</v>
      </c>
      <c r="D337" s="7">
        <v>5234</v>
      </c>
      <c r="F337" s="350" t="s">
        <v>7690</v>
      </c>
      <c r="G337" s="19"/>
      <c r="I337" s="1"/>
    </row>
    <row r="338" spans="1:9" ht="15" customHeight="1">
      <c r="A338" s="350" t="s">
        <v>815</v>
      </c>
      <c r="B338" s="350" t="s">
        <v>7695</v>
      </c>
      <c r="C338" s="1" t="s">
        <v>7696</v>
      </c>
      <c r="D338" s="7">
        <v>1835</v>
      </c>
      <c r="F338" s="350" t="s">
        <v>7690</v>
      </c>
      <c r="G338" s="19"/>
      <c r="I338" s="1"/>
    </row>
    <row r="339" spans="1:9" ht="15" customHeight="1">
      <c r="A339" s="350" t="s">
        <v>816</v>
      </c>
      <c r="B339" s="350" t="s">
        <v>7697</v>
      </c>
      <c r="C339" s="1" t="s">
        <v>7698</v>
      </c>
      <c r="D339" s="7">
        <v>3304</v>
      </c>
      <c r="F339" s="350" t="s">
        <v>7690</v>
      </c>
      <c r="G339" s="19"/>
      <c r="I339" s="1"/>
    </row>
    <row r="340" spans="1:9">
      <c r="A340" s="350" t="s">
        <v>826</v>
      </c>
      <c r="B340" s="350" t="s">
        <v>7699</v>
      </c>
      <c r="C340" s="1" t="s">
        <v>7700</v>
      </c>
      <c r="D340" s="7">
        <v>3435</v>
      </c>
      <c r="F340" s="350" t="s">
        <v>7331</v>
      </c>
      <c r="G340" s="19"/>
      <c r="I340" s="1"/>
    </row>
    <row r="341" spans="1:9">
      <c r="A341" s="350" t="s">
        <v>827</v>
      </c>
      <c r="B341" s="350" t="s">
        <v>7701</v>
      </c>
      <c r="C341" s="1" t="s">
        <v>7702</v>
      </c>
      <c r="D341" s="7">
        <v>4858</v>
      </c>
      <c r="F341" s="350" t="s">
        <v>7690</v>
      </c>
      <c r="G341" s="19"/>
      <c r="I341" s="1"/>
    </row>
    <row r="342" spans="1:9">
      <c r="A342" s="350" t="s">
        <v>828</v>
      </c>
      <c r="B342" s="350" t="s">
        <v>7703</v>
      </c>
      <c r="C342" s="1" t="s">
        <v>7704</v>
      </c>
      <c r="D342" s="7">
        <v>5239</v>
      </c>
      <c r="F342" s="350" t="s">
        <v>7690</v>
      </c>
      <c r="G342" s="19"/>
      <c r="I342" s="1"/>
    </row>
    <row r="343" spans="1:9">
      <c r="A343" s="350" t="s">
        <v>829</v>
      </c>
      <c r="B343" s="350" t="s">
        <v>7705</v>
      </c>
      <c r="C343" s="1" t="s">
        <v>7706</v>
      </c>
      <c r="D343" s="8">
        <v>4898</v>
      </c>
      <c r="F343" s="350" t="s">
        <v>7690</v>
      </c>
      <c r="G343" s="20"/>
      <c r="I343" s="1"/>
    </row>
    <row r="344" spans="1:9">
      <c r="A344" s="350" t="s">
        <v>830</v>
      </c>
      <c r="B344" s="350" t="s">
        <v>7707</v>
      </c>
      <c r="C344" s="1" t="s">
        <v>7708</v>
      </c>
      <c r="D344" s="8">
        <v>1883</v>
      </c>
      <c r="F344" s="350" t="s">
        <v>7340</v>
      </c>
      <c r="G344" s="19"/>
      <c r="I344" s="1"/>
    </row>
    <row r="345" spans="1:9">
      <c r="A345" s="350" t="s">
        <v>831</v>
      </c>
      <c r="B345" s="350" t="s">
        <v>7709</v>
      </c>
      <c r="C345" s="1" t="s">
        <v>7710</v>
      </c>
      <c r="D345" s="7">
        <v>1832</v>
      </c>
      <c r="F345" s="350" t="s">
        <v>7331</v>
      </c>
      <c r="G345" s="19"/>
      <c r="I345" s="1"/>
    </row>
    <row r="346" spans="1:9">
      <c r="A346" s="350" t="s">
        <v>832</v>
      </c>
      <c r="B346" s="350" t="s">
        <v>7711</v>
      </c>
      <c r="C346" s="1" t="s">
        <v>7712</v>
      </c>
      <c r="D346" s="7">
        <v>1561</v>
      </c>
      <c r="F346" s="350" t="s">
        <v>7331</v>
      </c>
      <c r="G346" s="19"/>
      <c r="I346" s="1"/>
    </row>
    <row r="347" spans="1:9">
      <c r="A347" s="350" t="s">
        <v>833</v>
      </c>
      <c r="B347" s="350" t="s">
        <v>7713</v>
      </c>
      <c r="C347" s="1" t="s">
        <v>7714</v>
      </c>
      <c r="D347" s="8">
        <v>3258</v>
      </c>
      <c r="F347" s="350" t="s">
        <v>7690</v>
      </c>
      <c r="G347" s="20"/>
      <c r="I347" s="1"/>
    </row>
    <row r="348" spans="1:9">
      <c r="A348" s="350" t="s">
        <v>834</v>
      </c>
      <c r="B348" s="350" t="s">
        <v>7715</v>
      </c>
      <c r="C348" s="1" t="s">
        <v>7716</v>
      </c>
      <c r="D348" s="8">
        <v>3173</v>
      </c>
      <c r="F348" s="350" t="s">
        <v>7690</v>
      </c>
      <c r="G348" s="20"/>
      <c r="I348" s="1"/>
    </row>
    <row r="349" spans="1:9">
      <c r="A349" s="350" t="s">
        <v>835</v>
      </c>
      <c r="B349" s="350" t="s">
        <v>7717</v>
      </c>
      <c r="C349" s="1" t="s">
        <v>7718</v>
      </c>
      <c r="D349" s="8">
        <v>3166</v>
      </c>
      <c r="F349" s="350" t="s">
        <v>7690</v>
      </c>
      <c r="G349" s="20"/>
      <c r="I349" s="1"/>
    </row>
    <row r="350" spans="1:9">
      <c r="A350" s="350" t="s">
        <v>836</v>
      </c>
      <c r="B350" s="350" t="s">
        <v>7719</v>
      </c>
      <c r="C350" s="1" t="s">
        <v>7720</v>
      </c>
      <c r="D350" s="8">
        <v>3349</v>
      </c>
      <c r="F350" s="350" t="s">
        <v>7690</v>
      </c>
      <c r="G350" s="20"/>
      <c r="I350" s="1"/>
    </row>
    <row r="351" spans="1:9">
      <c r="A351" s="350" t="s">
        <v>837</v>
      </c>
      <c r="B351" s="350" t="s">
        <v>7721</v>
      </c>
      <c r="C351" s="1" t="s">
        <v>7722</v>
      </c>
      <c r="D351" s="8">
        <v>3523</v>
      </c>
      <c r="F351" s="350" t="s">
        <v>7690</v>
      </c>
      <c r="G351" s="20"/>
      <c r="I351" s="1"/>
    </row>
    <row r="352" spans="1:9">
      <c r="A352" s="350" t="s">
        <v>838</v>
      </c>
      <c r="B352" s="350" t="s">
        <v>7723</v>
      </c>
      <c r="C352" s="1" t="s">
        <v>7724</v>
      </c>
      <c r="D352" s="8">
        <v>3392</v>
      </c>
      <c r="F352" s="350" t="s">
        <v>7690</v>
      </c>
      <c r="G352" s="20"/>
      <c r="I352" s="1"/>
    </row>
    <row r="353" spans="1:9">
      <c r="A353" s="350" t="s">
        <v>840</v>
      </c>
      <c r="B353" s="350" t="s">
        <v>7725</v>
      </c>
      <c r="C353" s="1" t="s">
        <v>7726</v>
      </c>
      <c r="D353" s="8">
        <v>3703</v>
      </c>
      <c r="F353" s="350" t="s">
        <v>7690</v>
      </c>
      <c r="G353" s="20"/>
      <c r="I353" s="1"/>
    </row>
    <row r="354" spans="1:9">
      <c r="A354" s="350" t="s">
        <v>841</v>
      </c>
      <c r="B354" s="350" t="s">
        <v>7727</v>
      </c>
      <c r="C354" s="1" t="s">
        <v>7728</v>
      </c>
      <c r="D354" s="8">
        <v>3245</v>
      </c>
      <c r="F354" s="350" t="s">
        <v>7340</v>
      </c>
      <c r="G354" s="20"/>
      <c r="I354" s="1"/>
    </row>
    <row r="355" spans="1:9">
      <c r="A355" s="350" t="s">
        <v>878</v>
      </c>
      <c r="B355" s="350" t="s">
        <v>7729</v>
      </c>
      <c r="C355" s="1" t="s">
        <v>7730</v>
      </c>
      <c r="D355" s="8">
        <v>1699</v>
      </c>
      <c r="F355" s="350" t="s">
        <v>7340</v>
      </c>
      <c r="G355" s="20"/>
      <c r="I355" s="1"/>
    </row>
    <row r="356" spans="1:9">
      <c r="A356" s="350" t="s">
        <v>879</v>
      </c>
      <c r="B356" s="351" t="s">
        <v>7731</v>
      </c>
      <c r="C356" s="1" t="s">
        <v>7732</v>
      </c>
      <c r="D356" s="7">
        <v>1661</v>
      </c>
      <c r="F356" s="350" t="s">
        <v>7340</v>
      </c>
      <c r="G356" s="19"/>
      <c r="I356" s="1"/>
    </row>
    <row r="357" spans="1:9">
      <c r="A357" s="350" t="s">
        <v>880</v>
      </c>
      <c r="B357" s="350" t="s">
        <v>7733</v>
      </c>
      <c r="C357" s="1" t="s">
        <v>7734</v>
      </c>
      <c r="D357" s="7">
        <v>3659</v>
      </c>
      <c r="F357" s="350" t="s">
        <v>7340</v>
      </c>
      <c r="G357" s="19"/>
      <c r="I357" s="1"/>
    </row>
    <row r="358" spans="1:9">
      <c r="A358" s="350" t="s">
        <v>721</v>
      </c>
      <c r="B358" s="350" t="s">
        <v>7735</v>
      </c>
      <c r="C358" s="1" t="s">
        <v>7736</v>
      </c>
      <c r="D358" s="7">
        <v>1884</v>
      </c>
      <c r="F358" s="350" t="s">
        <v>7331</v>
      </c>
      <c r="G358" s="19"/>
      <c r="I358" s="1"/>
    </row>
    <row r="359" spans="1:9">
      <c r="A359" s="350" t="s">
        <v>722</v>
      </c>
      <c r="B359" s="350" t="s">
        <v>7737</v>
      </c>
      <c r="C359" s="1" t="s">
        <v>7738</v>
      </c>
      <c r="D359" s="8">
        <v>1780</v>
      </c>
      <c r="F359" s="350" t="s">
        <v>7340</v>
      </c>
      <c r="G359" s="20"/>
      <c r="I359" s="1"/>
    </row>
    <row r="360" spans="1:9">
      <c r="A360" s="350" t="s">
        <v>723</v>
      </c>
      <c r="B360" s="350" t="s">
        <v>7739</v>
      </c>
      <c r="C360" s="1" t="s">
        <v>7740</v>
      </c>
      <c r="D360" s="7">
        <v>1737</v>
      </c>
      <c r="F360" s="350" t="s">
        <v>7331</v>
      </c>
      <c r="G360" s="19"/>
      <c r="I360" s="1"/>
    </row>
    <row r="361" spans="1:9">
      <c r="A361" s="350" t="s">
        <v>733</v>
      </c>
      <c r="B361" s="350" t="s">
        <v>7741</v>
      </c>
      <c r="C361" s="1" t="s">
        <v>7742</v>
      </c>
      <c r="D361" s="8">
        <v>3296</v>
      </c>
      <c r="F361" s="350" t="s">
        <v>7690</v>
      </c>
      <c r="G361" s="20"/>
      <c r="I361" s="1"/>
    </row>
    <row r="362" spans="1:9">
      <c r="A362" s="350" t="s">
        <v>734</v>
      </c>
      <c r="B362" s="350" t="s">
        <v>7743</v>
      </c>
      <c r="C362" s="1" t="s">
        <v>7744</v>
      </c>
      <c r="D362" s="8">
        <v>1987</v>
      </c>
      <c r="F362" s="350" t="s">
        <v>7690</v>
      </c>
      <c r="G362" s="20"/>
      <c r="I362" s="1"/>
    </row>
    <row r="363" spans="1:9">
      <c r="A363" s="350" t="s">
        <v>735</v>
      </c>
      <c r="B363" s="350" t="s">
        <v>7745</v>
      </c>
      <c r="C363" s="1" t="s">
        <v>7746</v>
      </c>
      <c r="D363" s="8">
        <v>4508</v>
      </c>
      <c r="F363" s="350" t="s">
        <v>7690</v>
      </c>
      <c r="G363" s="20"/>
      <c r="I363" s="1"/>
    </row>
    <row r="364" spans="1:9">
      <c r="A364" s="350" t="s">
        <v>736</v>
      </c>
      <c r="B364" s="350" t="s">
        <v>7747</v>
      </c>
      <c r="C364" s="1" t="s">
        <v>7748</v>
      </c>
      <c r="D364" s="8">
        <v>3254</v>
      </c>
      <c r="F364" s="350" t="s">
        <v>7690</v>
      </c>
      <c r="G364" s="20"/>
      <c r="I364" s="1"/>
    </row>
    <row r="365" spans="1:9">
      <c r="A365" s="362">
        <v>31</v>
      </c>
      <c r="B365" s="350" t="s">
        <v>7749</v>
      </c>
      <c r="C365" s="1" t="s">
        <v>7750</v>
      </c>
      <c r="D365" s="8">
        <v>3362</v>
      </c>
      <c r="F365" s="350" t="s">
        <v>7690</v>
      </c>
      <c r="G365" s="20"/>
      <c r="I365" s="1"/>
    </row>
    <row r="366" spans="1:9">
      <c r="A366" s="362">
        <v>32</v>
      </c>
      <c r="B366" s="350" t="s">
        <v>7751</v>
      </c>
      <c r="C366" s="1" t="s">
        <v>7752</v>
      </c>
      <c r="D366" s="8">
        <v>3056</v>
      </c>
      <c r="F366" s="350" t="s">
        <v>7690</v>
      </c>
      <c r="G366" s="20"/>
      <c r="I366" s="1"/>
    </row>
    <row r="367" spans="1:9">
      <c r="D367" s="355"/>
    </row>
    <row r="368" spans="1:9">
      <c r="A368" s="350" t="s">
        <v>7555</v>
      </c>
      <c r="D368" s="353">
        <f>D340+D345+D346+D358+D360</f>
        <v>10449</v>
      </c>
    </row>
    <row r="369" spans="1:9">
      <c r="A369" s="350" t="s">
        <v>7690</v>
      </c>
      <c r="D369" s="353">
        <f>SUM(D335:D339)+SUM(D341:D343)+SUM(D347:D353)+SUM(D361:D366)</f>
        <v>73521</v>
      </c>
    </row>
    <row r="370" spans="1:9">
      <c r="A370" s="350" t="s">
        <v>7753</v>
      </c>
      <c r="D370" s="353">
        <f>D344+SUM(D354:D357)+D359</f>
        <v>13927</v>
      </c>
    </row>
    <row r="371" spans="1:9">
      <c r="A371" s="350"/>
      <c r="D371" s="353"/>
    </row>
    <row r="372" spans="1:9">
      <c r="A372" s="350" t="s">
        <v>7754</v>
      </c>
      <c r="D372" s="353"/>
    </row>
    <row r="373" spans="1:9">
      <c r="A373" s="350" t="s">
        <v>7755</v>
      </c>
      <c r="D373" s="353"/>
    </row>
    <row r="374" spans="1:9">
      <c r="A374" s="361"/>
    </row>
    <row r="375" spans="1:9">
      <c r="A375" s="361"/>
    </row>
    <row r="376" spans="1:9">
      <c r="D376" s="10" t="s">
        <v>285</v>
      </c>
      <c r="E376" s="16"/>
      <c r="F376" s="5" t="s">
        <v>4116</v>
      </c>
    </row>
    <row r="377" spans="1:9">
      <c r="D377" s="15">
        <v>2016</v>
      </c>
      <c r="F377" s="18" t="s">
        <v>286</v>
      </c>
    </row>
    <row r="378" spans="1:9">
      <c r="A378" s="350" t="s">
        <v>7756</v>
      </c>
      <c r="D378" s="353">
        <f t="shared" ref="D378" si="52">SUM(D379:D389)</f>
        <v>57532</v>
      </c>
    </row>
    <row r="379" spans="1:9">
      <c r="A379" s="350" t="s">
        <v>812</v>
      </c>
      <c r="B379" s="350" t="s">
        <v>7757</v>
      </c>
      <c r="C379" s="1" t="s">
        <v>7758</v>
      </c>
      <c r="D379" s="7">
        <v>5350</v>
      </c>
      <c r="F379" s="350" t="s">
        <v>7340</v>
      </c>
      <c r="G379" s="19"/>
      <c r="I379" s="1"/>
    </row>
    <row r="380" spans="1:9">
      <c r="A380" s="350" t="s">
        <v>813</v>
      </c>
      <c r="B380" s="350" t="s">
        <v>7759</v>
      </c>
      <c r="C380" s="1" t="s">
        <v>7760</v>
      </c>
      <c r="D380" s="7">
        <v>6067</v>
      </c>
      <c r="F380" s="350" t="s">
        <v>7340</v>
      </c>
      <c r="G380" s="19"/>
      <c r="I380" s="1"/>
    </row>
    <row r="381" spans="1:9">
      <c r="A381" s="350" t="s">
        <v>814</v>
      </c>
      <c r="B381" s="350" t="s">
        <v>7761</v>
      </c>
      <c r="C381" s="1" t="s">
        <v>7762</v>
      </c>
      <c r="D381" s="7">
        <v>4899</v>
      </c>
      <c r="F381" s="350" t="s">
        <v>7340</v>
      </c>
      <c r="G381" s="19"/>
      <c r="I381" s="1"/>
    </row>
    <row r="382" spans="1:9">
      <c r="A382" s="350" t="s">
        <v>815</v>
      </c>
      <c r="B382" s="350" t="s">
        <v>7763</v>
      </c>
      <c r="C382" s="1" t="s">
        <v>7764</v>
      </c>
      <c r="D382" s="7">
        <v>5299</v>
      </c>
      <c r="F382" s="350" t="s">
        <v>7340</v>
      </c>
      <c r="G382" s="19"/>
      <c r="I382" s="1"/>
    </row>
    <row r="383" spans="1:9">
      <c r="A383" s="350" t="s">
        <v>816</v>
      </c>
      <c r="B383" s="350" t="s">
        <v>7765</v>
      </c>
      <c r="C383" s="1" t="s">
        <v>7766</v>
      </c>
      <c r="D383" s="7">
        <v>5629</v>
      </c>
      <c r="F383" s="350" t="s">
        <v>7340</v>
      </c>
      <c r="G383" s="19"/>
      <c r="I383" s="1"/>
    </row>
    <row r="384" spans="1:9">
      <c r="A384" s="350" t="s">
        <v>826</v>
      </c>
      <c r="B384" s="350" t="s">
        <v>7767</v>
      </c>
      <c r="C384" s="1" t="s">
        <v>7768</v>
      </c>
      <c r="D384" s="7">
        <v>4879</v>
      </c>
      <c r="F384" s="350" t="s">
        <v>7340</v>
      </c>
      <c r="G384" s="19"/>
      <c r="I384" s="1"/>
    </row>
    <row r="385" spans="1:9">
      <c r="A385" s="350" t="s">
        <v>827</v>
      </c>
      <c r="B385" s="350" t="s">
        <v>7769</v>
      </c>
      <c r="C385" s="1" t="s">
        <v>7770</v>
      </c>
      <c r="D385" s="7">
        <v>5089</v>
      </c>
      <c r="F385" s="350" t="s">
        <v>7340</v>
      </c>
      <c r="G385" s="19"/>
      <c r="I385" s="1"/>
    </row>
    <row r="386" spans="1:9">
      <c r="A386" s="350" t="s">
        <v>828</v>
      </c>
      <c r="B386" s="350" t="s">
        <v>7771</v>
      </c>
      <c r="C386" s="1" t="s">
        <v>7772</v>
      </c>
      <c r="D386" s="7">
        <v>5661</v>
      </c>
      <c r="F386" s="350" t="s">
        <v>7340</v>
      </c>
      <c r="G386" s="19"/>
      <c r="I386" s="1"/>
    </row>
    <row r="387" spans="1:9">
      <c r="A387" s="350" t="s">
        <v>829</v>
      </c>
      <c r="B387" s="350" t="s">
        <v>7773</v>
      </c>
      <c r="C387" s="1" t="s">
        <v>7774</v>
      </c>
      <c r="D387" s="7">
        <v>4600</v>
      </c>
      <c r="F387" s="350" t="s">
        <v>7340</v>
      </c>
      <c r="G387" s="19"/>
      <c r="I387" s="1"/>
    </row>
    <row r="388" spans="1:9">
      <c r="A388" s="350" t="s">
        <v>830</v>
      </c>
      <c r="B388" s="350" t="s">
        <v>7775</v>
      </c>
      <c r="C388" s="1" t="s">
        <v>7776</v>
      </c>
      <c r="D388" s="7">
        <v>4974</v>
      </c>
      <c r="F388" s="350" t="s">
        <v>7340</v>
      </c>
      <c r="G388" s="19"/>
      <c r="I388" s="1"/>
    </row>
    <row r="389" spans="1:9">
      <c r="A389" s="350" t="s">
        <v>831</v>
      </c>
      <c r="B389" s="350" t="s">
        <v>7777</v>
      </c>
      <c r="C389" s="1" t="s">
        <v>7778</v>
      </c>
      <c r="D389" s="7">
        <v>5085</v>
      </c>
      <c r="F389" s="350" t="s">
        <v>7340</v>
      </c>
      <c r="G389" s="19"/>
      <c r="I389" s="1"/>
    </row>
    <row r="390" spans="1:9">
      <c r="D390" s="355"/>
    </row>
    <row r="391" spans="1:9">
      <c r="A391" s="350" t="s">
        <v>7753</v>
      </c>
      <c r="D391" s="353">
        <f t="shared" ref="D391" si="53">SUM(D379:D389)</f>
        <v>57532</v>
      </c>
    </row>
    <row r="392" spans="1:9">
      <c r="A392" s="350"/>
      <c r="D392" s="353"/>
    </row>
    <row r="393" spans="1:9">
      <c r="A393" s="350" t="s">
        <v>7779</v>
      </c>
      <c r="D393" s="353"/>
    </row>
    <row r="394" spans="1:9">
      <c r="A394" s="350"/>
      <c r="B394" s="350"/>
      <c r="D394" s="364"/>
    </row>
    <row r="395" spans="1:9">
      <c r="A395" s="350"/>
      <c r="B395" s="350"/>
      <c r="D395" s="364"/>
    </row>
    <row r="396" spans="1:9">
      <c r="D396" s="10" t="s">
        <v>285</v>
      </c>
      <c r="E396" s="16"/>
      <c r="F396" s="5" t="s">
        <v>4116</v>
      </c>
    </row>
    <row r="397" spans="1:9">
      <c r="D397" s="15">
        <v>2016</v>
      </c>
      <c r="F397" s="18" t="s">
        <v>286</v>
      </c>
    </row>
    <row r="398" spans="1:9">
      <c r="A398" s="350" t="s">
        <v>7780</v>
      </c>
      <c r="D398" s="353">
        <f>SUM(D399:D415)</f>
        <v>47312</v>
      </c>
    </row>
    <row r="399" spans="1:9">
      <c r="A399" s="350" t="s">
        <v>812</v>
      </c>
      <c r="B399" s="350" t="s">
        <v>7781</v>
      </c>
      <c r="C399" s="1" t="s">
        <v>7782</v>
      </c>
      <c r="D399" s="7">
        <v>3208</v>
      </c>
      <c r="F399" s="350" t="s">
        <v>7354</v>
      </c>
      <c r="G399" s="19"/>
      <c r="I399" s="1"/>
    </row>
    <row r="400" spans="1:9">
      <c r="A400" s="350" t="s">
        <v>813</v>
      </c>
      <c r="B400" s="350" t="s">
        <v>7783</v>
      </c>
      <c r="C400" s="1" t="s">
        <v>7784</v>
      </c>
      <c r="D400" s="7">
        <v>2901</v>
      </c>
      <c r="F400" s="350" t="s">
        <v>7354</v>
      </c>
      <c r="G400" s="19"/>
      <c r="I400" s="1"/>
    </row>
    <row r="401" spans="1:9">
      <c r="A401" s="350" t="s">
        <v>814</v>
      </c>
      <c r="B401" s="350" t="s">
        <v>7785</v>
      </c>
      <c r="C401" s="1" t="s">
        <v>7786</v>
      </c>
      <c r="D401" s="7">
        <v>3147</v>
      </c>
      <c r="F401" s="350" t="s">
        <v>7354</v>
      </c>
      <c r="G401" s="19"/>
      <c r="I401" s="1"/>
    </row>
    <row r="402" spans="1:9">
      <c r="A402" s="350" t="s">
        <v>815</v>
      </c>
      <c r="B402" s="350" t="s">
        <v>7787</v>
      </c>
      <c r="C402" s="1" t="s">
        <v>7788</v>
      </c>
      <c r="D402" s="7">
        <v>2851</v>
      </c>
      <c r="F402" s="350" t="s">
        <v>7354</v>
      </c>
      <c r="G402" s="19"/>
      <c r="I402" s="1"/>
    </row>
    <row r="403" spans="1:9">
      <c r="A403" s="350" t="s">
        <v>816</v>
      </c>
      <c r="B403" s="350" t="s">
        <v>7789</v>
      </c>
      <c r="C403" s="1" t="s">
        <v>7790</v>
      </c>
      <c r="D403" s="7">
        <v>3190</v>
      </c>
      <c r="F403" s="350" t="s">
        <v>7354</v>
      </c>
      <c r="G403" s="19"/>
      <c r="I403" s="1"/>
    </row>
    <row r="404" spans="1:9">
      <c r="A404" s="350" t="s">
        <v>826</v>
      </c>
      <c r="B404" s="350" t="s">
        <v>7791</v>
      </c>
      <c r="C404" s="1" t="s">
        <v>7792</v>
      </c>
      <c r="D404" s="7">
        <v>3014</v>
      </c>
      <c r="F404" s="350" t="s">
        <v>7354</v>
      </c>
      <c r="G404" s="19"/>
      <c r="I404" s="1"/>
    </row>
    <row r="405" spans="1:9">
      <c r="A405" s="350" t="s">
        <v>827</v>
      </c>
      <c r="B405" s="350" t="s">
        <v>7793</v>
      </c>
      <c r="C405" s="1" t="s">
        <v>7794</v>
      </c>
      <c r="D405" s="7">
        <v>1548</v>
      </c>
      <c r="F405" s="350" t="s">
        <v>7354</v>
      </c>
      <c r="G405" s="19"/>
      <c r="I405" s="1"/>
    </row>
    <row r="406" spans="1:9">
      <c r="A406" s="350" t="s">
        <v>828</v>
      </c>
      <c r="B406" s="350" t="s">
        <v>7795</v>
      </c>
      <c r="C406" s="1" t="s">
        <v>7796</v>
      </c>
      <c r="D406" s="7">
        <v>3189</v>
      </c>
      <c r="F406" s="350" t="s">
        <v>7354</v>
      </c>
      <c r="G406" s="19"/>
      <c r="I406" s="1"/>
    </row>
    <row r="407" spans="1:9">
      <c r="A407" s="350" t="s">
        <v>829</v>
      </c>
      <c r="B407" s="350" t="s">
        <v>7797</v>
      </c>
      <c r="C407" s="1" t="s">
        <v>7798</v>
      </c>
      <c r="D407" s="7">
        <v>2969</v>
      </c>
      <c r="F407" s="350" t="s">
        <v>7354</v>
      </c>
      <c r="G407" s="19"/>
      <c r="I407" s="1"/>
    </row>
    <row r="408" spans="1:9">
      <c r="A408" s="350" t="s">
        <v>830</v>
      </c>
      <c r="B408" s="350" t="s">
        <v>7799</v>
      </c>
      <c r="C408" s="1" t="s">
        <v>7800</v>
      </c>
      <c r="D408" s="7">
        <v>3030</v>
      </c>
      <c r="F408" s="350" t="s">
        <v>7354</v>
      </c>
      <c r="G408" s="19"/>
      <c r="I408" s="1"/>
    </row>
    <row r="409" spans="1:9">
      <c r="A409" s="350" t="s">
        <v>831</v>
      </c>
      <c r="B409" s="350" t="s">
        <v>7801</v>
      </c>
      <c r="C409" s="1" t="s">
        <v>7802</v>
      </c>
      <c r="D409" s="7">
        <v>3281</v>
      </c>
      <c r="F409" s="350" t="s">
        <v>7354</v>
      </c>
      <c r="G409" s="19"/>
      <c r="I409" s="1"/>
    </row>
    <row r="410" spans="1:9">
      <c r="A410" s="350" t="s">
        <v>832</v>
      </c>
      <c r="B410" s="350" t="s">
        <v>7803</v>
      </c>
      <c r="C410" s="1" t="s">
        <v>7804</v>
      </c>
      <c r="D410" s="7">
        <v>2642</v>
      </c>
      <c r="F410" s="350" t="s">
        <v>7344</v>
      </c>
      <c r="G410" s="19"/>
      <c r="I410" s="1"/>
    </row>
    <row r="411" spans="1:9">
      <c r="A411" s="350" t="s">
        <v>833</v>
      </c>
      <c r="B411" s="350" t="s">
        <v>7805</v>
      </c>
      <c r="C411" s="1" t="s">
        <v>7806</v>
      </c>
      <c r="D411" s="7">
        <v>3105</v>
      </c>
      <c r="F411" s="350" t="s">
        <v>7354</v>
      </c>
      <c r="G411" s="19"/>
      <c r="I411" s="1"/>
    </row>
    <row r="412" spans="1:9">
      <c r="A412" s="350" t="s">
        <v>834</v>
      </c>
      <c r="B412" s="350" t="s">
        <v>7807</v>
      </c>
      <c r="C412" s="1" t="s">
        <v>7808</v>
      </c>
      <c r="D412" s="7">
        <v>1669</v>
      </c>
      <c r="F412" s="350" t="s">
        <v>7354</v>
      </c>
      <c r="G412" s="19"/>
      <c r="I412" s="1"/>
    </row>
    <row r="413" spans="1:9">
      <c r="A413" s="350" t="s">
        <v>835</v>
      </c>
      <c r="B413" s="350" t="s">
        <v>7809</v>
      </c>
      <c r="C413" s="1" t="s">
        <v>7810</v>
      </c>
      <c r="D413" s="7">
        <v>1571</v>
      </c>
      <c r="F413" s="350" t="s">
        <v>7354</v>
      </c>
      <c r="G413" s="19"/>
      <c r="I413" s="1"/>
    </row>
    <row r="414" spans="1:9">
      <c r="A414" s="350" t="s">
        <v>836</v>
      </c>
      <c r="B414" s="350" t="s">
        <v>7811</v>
      </c>
      <c r="C414" s="1" t="s">
        <v>7812</v>
      </c>
      <c r="D414" s="8">
        <v>3167</v>
      </c>
      <c r="F414" s="350" t="s">
        <v>7354</v>
      </c>
      <c r="G414" s="20"/>
      <c r="I414" s="1"/>
    </row>
    <row r="415" spans="1:9">
      <c r="A415" s="350" t="s">
        <v>837</v>
      </c>
      <c r="B415" s="350" t="s">
        <v>7813</v>
      </c>
      <c r="C415" s="1" t="s">
        <v>7814</v>
      </c>
      <c r="D415" s="8">
        <v>2830</v>
      </c>
      <c r="F415" s="350" t="s">
        <v>7354</v>
      </c>
      <c r="G415" s="20"/>
      <c r="I415" s="1"/>
    </row>
    <row r="416" spans="1:9">
      <c r="D416" s="355"/>
    </row>
    <row r="417" spans="1:9">
      <c r="A417" s="350" t="s">
        <v>7815</v>
      </c>
      <c r="D417" s="353">
        <f>D410</f>
        <v>2642</v>
      </c>
    </row>
    <row r="418" spans="1:9">
      <c r="A418" s="350" t="s">
        <v>7522</v>
      </c>
      <c r="D418" s="353">
        <f>SUM(D399:D409)+SUM(D411:D415)</f>
        <v>44670</v>
      </c>
    </row>
    <row r="419" spans="1:9">
      <c r="A419" s="350"/>
      <c r="D419" s="353"/>
    </row>
    <row r="420" spans="1:9">
      <c r="A420" s="350" t="s">
        <v>7816</v>
      </c>
      <c r="D420" s="353"/>
    </row>
    <row r="421" spans="1:9">
      <c r="A421" s="350"/>
      <c r="B421" s="350"/>
      <c r="D421" s="364"/>
    </row>
    <row r="422" spans="1:9">
      <c r="A422" s="350"/>
      <c r="B422" s="350"/>
      <c r="D422" s="364"/>
    </row>
    <row r="423" spans="1:9">
      <c r="D423" s="10" t="s">
        <v>285</v>
      </c>
      <c r="E423" s="16"/>
      <c r="F423" s="5" t="s">
        <v>4116</v>
      </c>
    </row>
    <row r="424" spans="1:9">
      <c r="D424" s="15">
        <v>2016</v>
      </c>
      <c r="F424" s="18" t="s">
        <v>286</v>
      </c>
    </row>
    <row r="425" spans="1:9">
      <c r="A425" s="350" t="s">
        <v>7817</v>
      </c>
      <c r="D425" s="353">
        <f t="shared" ref="D425" si="54">SUM(D426:D444)</f>
        <v>64466</v>
      </c>
    </row>
    <row r="426" spans="1:9">
      <c r="A426" s="350" t="s">
        <v>812</v>
      </c>
      <c r="B426" s="350" t="s">
        <v>7818</v>
      </c>
      <c r="C426" s="1" t="s">
        <v>7819</v>
      </c>
      <c r="D426" s="7">
        <v>3437</v>
      </c>
      <c r="F426" s="350" t="s">
        <v>7347</v>
      </c>
      <c r="G426" s="19"/>
      <c r="I426" s="1"/>
    </row>
    <row r="427" spans="1:9">
      <c r="A427" s="350" t="s">
        <v>813</v>
      </c>
      <c r="B427" s="350" t="s">
        <v>7820</v>
      </c>
      <c r="C427" s="1" t="s">
        <v>7821</v>
      </c>
      <c r="D427" s="8">
        <v>1383</v>
      </c>
      <c r="F427" s="350" t="s">
        <v>7347</v>
      </c>
      <c r="G427" s="20"/>
      <c r="I427" s="1"/>
    </row>
    <row r="428" spans="1:9">
      <c r="A428" s="350" t="s">
        <v>814</v>
      </c>
      <c r="B428" s="350" t="s">
        <v>7822</v>
      </c>
      <c r="C428" s="1" t="s">
        <v>7823</v>
      </c>
      <c r="D428" s="7">
        <v>3705</v>
      </c>
      <c r="F428" s="350" t="s">
        <v>7344</v>
      </c>
      <c r="G428" s="19"/>
      <c r="I428" s="1"/>
    </row>
    <row r="429" spans="1:9">
      <c r="A429" s="350" t="s">
        <v>815</v>
      </c>
      <c r="B429" s="350" t="s">
        <v>7824</v>
      </c>
      <c r="C429" s="1" t="s">
        <v>7825</v>
      </c>
      <c r="D429" s="8">
        <v>4436</v>
      </c>
      <c r="F429" s="350" t="s">
        <v>7347</v>
      </c>
      <c r="G429" s="20"/>
      <c r="I429" s="1"/>
    </row>
    <row r="430" spans="1:9">
      <c r="A430" s="350" t="s">
        <v>816</v>
      </c>
      <c r="B430" s="350" t="s">
        <v>1009</v>
      </c>
      <c r="C430" s="1" t="s">
        <v>7826</v>
      </c>
      <c r="D430" s="7">
        <v>2762</v>
      </c>
      <c r="F430" s="350" t="s">
        <v>7344</v>
      </c>
      <c r="G430" s="19"/>
      <c r="I430" s="1"/>
    </row>
    <row r="431" spans="1:9">
      <c r="A431" s="350" t="s">
        <v>826</v>
      </c>
      <c r="B431" s="350" t="s">
        <v>7827</v>
      </c>
      <c r="C431" s="1" t="s">
        <v>7828</v>
      </c>
      <c r="D431" s="7">
        <v>3440</v>
      </c>
      <c r="F431" s="350" t="s">
        <v>7344</v>
      </c>
      <c r="G431" s="19"/>
      <c r="I431" s="1"/>
    </row>
    <row r="432" spans="1:9">
      <c r="A432" s="350" t="s">
        <v>827</v>
      </c>
      <c r="B432" s="350" t="s">
        <v>7829</v>
      </c>
      <c r="C432" s="1" t="s">
        <v>7830</v>
      </c>
      <c r="D432" s="7">
        <v>3410</v>
      </c>
      <c r="F432" s="350" t="s">
        <v>7344</v>
      </c>
      <c r="G432" s="19"/>
      <c r="I432" s="1"/>
    </row>
    <row r="433" spans="1:9">
      <c r="A433" s="350" t="s">
        <v>828</v>
      </c>
      <c r="B433" s="350" t="s">
        <v>7831</v>
      </c>
      <c r="C433" s="1" t="s">
        <v>7832</v>
      </c>
      <c r="D433" s="7">
        <v>3447</v>
      </c>
      <c r="F433" s="350" t="s">
        <v>7344</v>
      </c>
      <c r="G433" s="19"/>
      <c r="I433" s="1"/>
    </row>
    <row r="434" spans="1:9">
      <c r="A434" s="350" t="s">
        <v>829</v>
      </c>
      <c r="B434" s="350" t="s">
        <v>7833</v>
      </c>
      <c r="C434" s="1" t="s">
        <v>7834</v>
      </c>
      <c r="D434" s="7">
        <v>5175</v>
      </c>
      <c r="F434" s="350" t="s">
        <v>7344</v>
      </c>
      <c r="G434" s="19"/>
      <c r="I434" s="1"/>
    </row>
    <row r="435" spans="1:9">
      <c r="A435" s="350" t="s">
        <v>830</v>
      </c>
      <c r="B435" s="350" t="s">
        <v>7835</v>
      </c>
      <c r="C435" s="1" t="s">
        <v>7836</v>
      </c>
      <c r="D435" s="7">
        <v>1650</v>
      </c>
      <c r="F435" s="350" t="s">
        <v>7344</v>
      </c>
      <c r="G435" s="19"/>
      <c r="I435" s="1"/>
    </row>
    <row r="436" spans="1:9">
      <c r="A436" s="350" t="s">
        <v>831</v>
      </c>
      <c r="B436" s="350" t="s">
        <v>7837</v>
      </c>
      <c r="C436" s="1" t="s">
        <v>7838</v>
      </c>
      <c r="D436" s="7">
        <v>1593</v>
      </c>
      <c r="F436" s="350" t="s">
        <v>7344</v>
      </c>
      <c r="G436" s="19"/>
      <c r="I436" s="1"/>
    </row>
    <row r="437" spans="1:9">
      <c r="A437" s="350" t="s">
        <v>832</v>
      </c>
      <c r="B437" s="350" t="s">
        <v>7839</v>
      </c>
      <c r="C437" s="1" t="s">
        <v>7840</v>
      </c>
      <c r="D437" s="7">
        <v>5350</v>
      </c>
      <c r="F437" s="350" t="s">
        <v>7344</v>
      </c>
      <c r="G437" s="19"/>
      <c r="I437" s="1"/>
    </row>
    <row r="438" spans="1:9">
      <c r="A438" s="350" t="s">
        <v>833</v>
      </c>
      <c r="B438" s="350" t="s">
        <v>7841</v>
      </c>
      <c r="C438" s="1" t="s">
        <v>7842</v>
      </c>
      <c r="D438" s="7">
        <v>3209</v>
      </c>
      <c r="F438" s="350" t="s">
        <v>7344</v>
      </c>
      <c r="G438" s="19"/>
      <c r="I438" s="1"/>
    </row>
    <row r="439" spans="1:9">
      <c r="A439" s="350" t="s">
        <v>834</v>
      </c>
      <c r="B439" s="350" t="s">
        <v>7843</v>
      </c>
      <c r="C439" s="1" t="s">
        <v>7844</v>
      </c>
      <c r="D439" s="7">
        <v>3236</v>
      </c>
      <c r="F439" s="350" t="s">
        <v>7344</v>
      </c>
      <c r="G439" s="19"/>
      <c r="I439" s="1"/>
    </row>
    <row r="440" spans="1:9">
      <c r="A440" s="350" t="s">
        <v>835</v>
      </c>
      <c r="B440" s="350" t="s">
        <v>6784</v>
      </c>
      <c r="C440" s="1" t="s">
        <v>7845</v>
      </c>
      <c r="D440" s="8">
        <v>5616</v>
      </c>
      <c r="F440" s="350" t="s">
        <v>7347</v>
      </c>
      <c r="G440" s="20"/>
      <c r="I440" s="1"/>
    </row>
    <row r="441" spans="1:9">
      <c r="A441" s="350" t="s">
        <v>836</v>
      </c>
      <c r="B441" s="350" t="s">
        <v>7846</v>
      </c>
      <c r="C441" s="1" t="s">
        <v>7847</v>
      </c>
      <c r="D441" s="7">
        <v>3361</v>
      </c>
      <c r="F441" s="350" t="s">
        <v>7344</v>
      </c>
      <c r="G441" s="19"/>
      <c r="I441" s="1"/>
    </row>
    <row r="442" spans="1:9">
      <c r="A442" s="350" t="s">
        <v>837</v>
      </c>
      <c r="B442" s="350" t="s">
        <v>679</v>
      </c>
      <c r="C442" s="1" t="s">
        <v>7848</v>
      </c>
      <c r="D442" s="7">
        <v>2872</v>
      </c>
      <c r="F442" s="350" t="s">
        <v>7344</v>
      </c>
      <c r="G442" s="19"/>
      <c r="I442" s="1"/>
    </row>
    <row r="443" spans="1:9">
      <c r="A443" s="350" t="s">
        <v>838</v>
      </c>
      <c r="B443" s="350" t="s">
        <v>7849</v>
      </c>
      <c r="C443" s="1" t="s">
        <v>7850</v>
      </c>
      <c r="D443" s="7">
        <v>3151</v>
      </c>
      <c r="F443" s="350" t="s">
        <v>7344</v>
      </c>
      <c r="G443" s="19"/>
      <c r="I443" s="1"/>
    </row>
    <row r="444" spans="1:9">
      <c r="A444" s="350" t="s">
        <v>840</v>
      </c>
      <c r="B444" s="350" t="s">
        <v>7851</v>
      </c>
      <c r="C444" s="1" t="s">
        <v>7852</v>
      </c>
      <c r="D444" s="8">
        <v>3233</v>
      </c>
      <c r="F444" s="350" t="s">
        <v>7344</v>
      </c>
      <c r="G444" s="20"/>
      <c r="I444" s="1"/>
    </row>
    <row r="445" spans="1:9">
      <c r="D445" s="355"/>
    </row>
    <row r="446" spans="1:9">
      <c r="A446" s="350" t="s">
        <v>7853</v>
      </c>
      <c r="D446" s="353">
        <f>D428+SUM(D430:D439)+SUM(D441:D444)</f>
        <v>49594</v>
      </c>
    </row>
    <row r="447" spans="1:9">
      <c r="A447" s="350" t="s">
        <v>7388</v>
      </c>
      <c r="D447" s="353">
        <f>D426+D427+D429+D440</f>
        <v>14872</v>
      </c>
    </row>
    <row r="448" spans="1:9">
      <c r="A448" s="350"/>
      <c r="D448" s="353"/>
    </row>
    <row r="449" spans="1:9">
      <c r="A449" s="350" t="s">
        <v>7854</v>
      </c>
      <c r="D449" s="353"/>
    </row>
    <row r="452" spans="1:9">
      <c r="D452" s="10" t="s">
        <v>285</v>
      </c>
      <c r="E452" s="16"/>
      <c r="F452" s="5" t="s">
        <v>4116</v>
      </c>
    </row>
    <row r="453" spans="1:9">
      <c r="D453" s="15">
        <v>2016</v>
      </c>
      <c r="F453" s="18" t="s">
        <v>286</v>
      </c>
    </row>
    <row r="454" spans="1:9">
      <c r="A454" s="350" t="s">
        <v>7855</v>
      </c>
      <c r="D454" s="353">
        <f t="shared" ref="D454" si="55">SUM(D455:D489)</f>
        <v>108820</v>
      </c>
      <c r="E454" s="353"/>
    </row>
    <row r="455" spans="1:9">
      <c r="A455" s="350" t="s">
        <v>812</v>
      </c>
      <c r="B455" s="350" t="s">
        <v>7856</v>
      </c>
      <c r="C455" s="1" t="s">
        <v>7857</v>
      </c>
      <c r="D455" s="8">
        <v>1677</v>
      </c>
      <c r="F455" s="350" t="s">
        <v>7343</v>
      </c>
      <c r="G455" s="20"/>
      <c r="I455" s="1"/>
    </row>
    <row r="456" spans="1:9">
      <c r="A456" s="350" t="s">
        <v>813</v>
      </c>
      <c r="B456" s="350" t="s">
        <v>7858</v>
      </c>
      <c r="C456" s="1" t="s">
        <v>7859</v>
      </c>
      <c r="D456" s="7">
        <v>3420</v>
      </c>
      <c r="F456" s="351" t="s">
        <v>7341</v>
      </c>
      <c r="G456" s="19"/>
      <c r="I456" s="1"/>
    </row>
    <row r="457" spans="1:9">
      <c r="A457" s="350" t="s">
        <v>814</v>
      </c>
      <c r="B457" s="350" t="s">
        <v>7860</v>
      </c>
      <c r="C457" s="1" t="s">
        <v>7861</v>
      </c>
      <c r="D457" s="8">
        <v>1846</v>
      </c>
      <c r="F457" s="350" t="s">
        <v>7343</v>
      </c>
      <c r="G457" s="20"/>
      <c r="I457" s="1"/>
    </row>
    <row r="458" spans="1:9">
      <c r="A458" s="350" t="s">
        <v>815</v>
      </c>
      <c r="B458" s="350" t="s">
        <v>7862</v>
      </c>
      <c r="C458" s="1" t="s">
        <v>7863</v>
      </c>
      <c r="D458" s="7">
        <v>1782</v>
      </c>
      <c r="F458" s="351" t="s">
        <v>7341</v>
      </c>
      <c r="G458" s="19"/>
      <c r="I458" s="1"/>
    </row>
    <row r="459" spans="1:9">
      <c r="A459" s="350" t="s">
        <v>816</v>
      </c>
      <c r="B459" s="350" t="s">
        <v>7864</v>
      </c>
      <c r="C459" s="1" t="s">
        <v>7865</v>
      </c>
      <c r="D459" s="7">
        <v>4036</v>
      </c>
      <c r="F459" s="351" t="s">
        <v>7341</v>
      </c>
      <c r="G459" s="19"/>
      <c r="I459" s="1"/>
    </row>
    <row r="460" spans="1:9">
      <c r="A460" s="350" t="s">
        <v>826</v>
      </c>
      <c r="B460" s="350" t="s">
        <v>7866</v>
      </c>
      <c r="C460" s="1" t="s">
        <v>7867</v>
      </c>
      <c r="D460" s="8">
        <v>1828</v>
      </c>
      <c r="F460" s="350" t="s">
        <v>7343</v>
      </c>
      <c r="G460" s="20"/>
      <c r="I460" s="1"/>
    </row>
    <row r="461" spans="1:9">
      <c r="A461" s="350" t="s">
        <v>827</v>
      </c>
      <c r="B461" s="350" t="s">
        <v>7868</v>
      </c>
      <c r="C461" s="1" t="s">
        <v>7869</v>
      </c>
      <c r="D461" s="8">
        <v>6398</v>
      </c>
      <c r="F461" s="350" t="s">
        <v>7343</v>
      </c>
      <c r="G461" s="20"/>
      <c r="I461" s="1"/>
    </row>
    <row r="462" spans="1:9">
      <c r="A462" s="350" t="s">
        <v>828</v>
      </c>
      <c r="B462" s="350" t="s">
        <v>7870</v>
      </c>
      <c r="C462" s="1" t="s">
        <v>7871</v>
      </c>
      <c r="D462" s="7">
        <v>1782</v>
      </c>
      <c r="F462" s="351" t="s">
        <v>7341</v>
      </c>
      <c r="G462" s="19"/>
      <c r="I462" s="1"/>
    </row>
    <row r="463" spans="1:9">
      <c r="A463" s="350" t="s">
        <v>829</v>
      </c>
      <c r="B463" s="350" t="s">
        <v>7872</v>
      </c>
      <c r="C463" s="1" t="s">
        <v>7873</v>
      </c>
      <c r="D463" s="7">
        <v>3375</v>
      </c>
      <c r="F463" s="351" t="s">
        <v>7341</v>
      </c>
      <c r="G463" s="19"/>
      <c r="I463" s="1"/>
    </row>
    <row r="464" spans="1:9">
      <c r="A464" s="350" t="s">
        <v>830</v>
      </c>
      <c r="B464" s="350" t="s">
        <v>7874</v>
      </c>
      <c r="C464" s="1" t="s">
        <v>7875</v>
      </c>
      <c r="D464" s="7">
        <v>3990</v>
      </c>
      <c r="F464" s="350" t="s">
        <v>7343</v>
      </c>
      <c r="G464" s="19"/>
      <c r="I464" s="1"/>
    </row>
    <row r="465" spans="1:9">
      <c r="A465" s="350" t="s">
        <v>831</v>
      </c>
      <c r="B465" s="350" t="s">
        <v>7876</v>
      </c>
      <c r="C465" s="1" t="s">
        <v>7877</v>
      </c>
      <c r="D465" s="8">
        <v>1655</v>
      </c>
      <c r="F465" s="351" t="s">
        <v>7341</v>
      </c>
      <c r="G465" s="20"/>
      <c r="I465" s="1"/>
    </row>
    <row r="466" spans="1:9">
      <c r="A466" s="350" t="s">
        <v>832</v>
      </c>
      <c r="B466" s="350" t="s">
        <v>7878</v>
      </c>
      <c r="C466" s="1" t="s">
        <v>7879</v>
      </c>
      <c r="D466" s="8">
        <v>1751</v>
      </c>
      <c r="F466" s="350" t="s">
        <v>7343</v>
      </c>
      <c r="G466" s="20"/>
      <c r="I466" s="1"/>
    </row>
    <row r="467" spans="1:9">
      <c r="A467" s="350" t="s">
        <v>833</v>
      </c>
      <c r="B467" s="350" t="s">
        <v>7880</v>
      </c>
      <c r="C467" s="1" t="s">
        <v>7881</v>
      </c>
      <c r="D467" s="7">
        <v>3259</v>
      </c>
      <c r="F467" s="351" t="s">
        <v>7341</v>
      </c>
      <c r="G467" s="19"/>
      <c r="I467" s="1"/>
    </row>
    <row r="468" spans="1:9">
      <c r="A468" s="350" t="s">
        <v>834</v>
      </c>
      <c r="B468" s="350" t="s">
        <v>7882</v>
      </c>
      <c r="C468" s="1" t="s">
        <v>7883</v>
      </c>
      <c r="D468" s="8">
        <v>1779</v>
      </c>
      <c r="F468" s="351" t="s">
        <v>7341</v>
      </c>
      <c r="G468" s="20"/>
      <c r="I468" s="1"/>
    </row>
    <row r="469" spans="1:9">
      <c r="A469" s="350" t="s">
        <v>835</v>
      </c>
      <c r="B469" s="350" t="s">
        <v>7884</v>
      </c>
      <c r="C469" s="1" t="s">
        <v>7885</v>
      </c>
      <c r="D469" s="8">
        <v>3656</v>
      </c>
      <c r="F469" s="351" t="s">
        <v>7341</v>
      </c>
      <c r="G469" s="20"/>
      <c r="I469" s="1"/>
    </row>
    <row r="470" spans="1:9">
      <c r="A470" s="350" t="s">
        <v>836</v>
      </c>
      <c r="B470" s="350" t="s">
        <v>7886</v>
      </c>
      <c r="C470" s="1" t="s">
        <v>7887</v>
      </c>
      <c r="D470" s="8">
        <v>3902</v>
      </c>
      <c r="F470" s="351" t="s">
        <v>7341</v>
      </c>
      <c r="G470" s="20"/>
      <c r="I470" s="1"/>
    </row>
    <row r="471" spans="1:9">
      <c r="A471" s="350" t="s">
        <v>837</v>
      </c>
      <c r="B471" s="350" t="s">
        <v>7888</v>
      </c>
      <c r="C471" s="1" t="s">
        <v>7889</v>
      </c>
      <c r="D471" s="8">
        <v>3792</v>
      </c>
      <c r="F471" s="351" t="s">
        <v>7341</v>
      </c>
      <c r="G471" s="20"/>
      <c r="I471" s="1"/>
    </row>
    <row r="472" spans="1:9">
      <c r="A472" s="350" t="s">
        <v>838</v>
      </c>
      <c r="B472" s="350" t="s">
        <v>7890</v>
      </c>
      <c r="C472" s="1" t="s">
        <v>7891</v>
      </c>
      <c r="D472" s="7">
        <v>1796</v>
      </c>
      <c r="F472" s="351" t="s">
        <v>7341</v>
      </c>
      <c r="G472" s="19"/>
      <c r="I472" s="1"/>
    </row>
    <row r="473" spans="1:9">
      <c r="A473" s="350" t="s">
        <v>840</v>
      </c>
      <c r="B473" s="350" t="s">
        <v>7892</v>
      </c>
      <c r="C473" s="1" t="s">
        <v>7893</v>
      </c>
      <c r="D473" s="7">
        <v>3809</v>
      </c>
      <c r="F473" s="351" t="s">
        <v>7341</v>
      </c>
      <c r="G473" s="19"/>
      <c r="I473" s="1"/>
    </row>
    <row r="474" spans="1:9">
      <c r="A474" s="350" t="s">
        <v>841</v>
      </c>
      <c r="B474" s="350" t="s">
        <v>7894</v>
      </c>
      <c r="C474" s="1" t="s">
        <v>7895</v>
      </c>
      <c r="D474" s="7">
        <v>1706</v>
      </c>
      <c r="F474" s="351" t="s">
        <v>7341</v>
      </c>
      <c r="G474" s="19"/>
      <c r="I474" s="1"/>
    </row>
    <row r="475" spans="1:9">
      <c r="A475" s="350" t="s">
        <v>878</v>
      </c>
      <c r="B475" s="350" t="s">
        <v>7896</v>
      </c>
      <c r="C475" s="1" t="s">
        <v>7897</v>
      </c>
      <c r="D475" s="8">
        <v>3364</v>
      </c>
      <c r="F475" s="350" t="s">
        <v>7343</v>
      </c>
      <c r="G475" s="20"/>
      <c r="I475" s="1"/>
    </row>
    <row r="476" spans="1:9">
      <c r="A476" s="350" t="s">
        <v>879</v>
      </c>
      <c r="B476" s="350" t="s">
        <v>7898</v>
      </c>
      <c r="C476" s="1" t="s">
        <v>7899</v>
      </c>
      <c r="D476" s="7">
        <v>3797</v>
      </c>
      <c r="F476" s="351" t="s">
        <v>7341</v>
      </c>
      <c r="G476" s="19"/>
      <c r="I476" s="1"/>
    </row>
    <row r="477" spans="1:9">
      <c r="A477" s="350" t="s">
        <v>880</v>
      </c>
      <c r="B477" s="350" t="s">
        <v>7900</v>
      </c>
      <c r="C477" s="1" t="s">
        <v>7901</v>
      </c>
      <c r="D477" s="8">
        <v>3562</v>
      </c>
      <c r="F477" s="350" t="s">
        <v>7343</v>
      </c>
      <c r="G477" s="20"/>
      <c r="I477" s="1"/>
    </row>
    <row r="478" spans="1:9">
      <c r="A478" s="350" t="s">
        <v>721</v>
      </c>
      <c r="B478" s="350" t="s">
        <v>7902</v>
      </c>
      <c r="C478" s="1" t="s">
        <v>7903</v>
      </c>
      <c r="D478" s="7">
        <v>3238</v>
      </c>
      <c r="F478" s="351" t="s">
        <v>7341</v>
      </c>
      <c r="G478" s="19"/>
      <c r="I478" s="1"/>
    </row>
    <row r="479" spans="1:9">
      <c r="A479" s="350" t="s">
        <v>722</v>
      </c>
      <c r="B479" s="350" t="s">
        <v>7904</v>
      </c>
      <c r="C479" s="1" t="s">
        <v>7905</v>
      </c>
      <c r="D479" s="7">
        <v>3326</v>
      </c>
      <c r="F479" s="351" t="s">
        <v>7341</v>
      </c>
      <c r="G479" s="19"/>
      <c r="I479" s="1"/>
    </row>
    <row r="480" spans="1:9">
      <c r="A480" s="350" t="s">
        <v>723</v>
      </c>
      <c r="B480" s="350" t="s">
        <v>7906</v>
      </c>
      <c r="C480" s="1" t="s">
        <v>7907</v>
      </c>
      <c r="D480" s="8">
        <v>1677</v>
      </c>
      <c r="F480" s="351" t="s">
        <v>7341</v>
      </c>
      <c r="G480" s="20"/>
      <c r="I480" s="1"/>
    </row>
    <row r="481" spans="1:9">
      <c r="A481" s="350" t="s">
        <v>733</v>
      </c>
      <c r="B481" s="350" t="s">
        <v>7908</v>
      </c>
      <c r="C481" s="1" t="s">
        <v>7909</v>
      </c>
      <c r="D481" s="7">
        <v>3428</v>
      </c>
      <c r="F481" s="351" t="s">
        <v>7341</v>
      </c>
      <c r="G481" s="19"/>
      <c r="I481" s="1"/>
    </row>
    <row r="482" spans="1:9">
      <c r="A482" s="350" t="s">
        <v>734</v>
      </c>
      <c r="B482" s="350" t="s">
        <v>7910</v>
      </c>
      <c r="C482" s="1" t="s">
        <v>7911</v>
      </c>
      <c r="D482" s="7">
        <v>3939</v>
      </c>
      <c r="F482" s="351" t="s">
        <v>7341</v>
      </c>
      <c r="G482" s="19"/>
      <c r="I482" s="1"/>
    </row>
    <row r="483" spans="1:9">
      <c r="A483" s="350" t="s">
        <v>735</v>
      </c>
      <c r="B483" s="350" t="s">
        <v>504</v>
      </c>
      <c r="C483" s="1" t="s">
        <v>7912</v>
      </c>
      <c r="D483" s="8">
        <v>3325</v>
      </c>
      <c r="F483" s="351" t="s">
        <v>7341</v>
      </c>
      <c r="G483" s="20"/>
      <c r="I483" s="1"/>
    </row>
    <row r="484" spans="1:9">
      <c r="A484" s="350" t="s">
        <v>736</v>
      </c>
      <c r="B484" s="350" t="s">
        <v>7913</v>
      </c>
      <c r="C484" s="1" t="s">
        <v>7914</v>
      </c>
      <c r="D484" s="8">
        <v>3814</v>
      </c>
      <c r="F484" s="351" t="s">
        <v>7341</v>
      </c>
      <c r="G484" s="20"/>
      <c r="I484" s="1"/>
    </row>
    <row r="485" spans="1:9">
      <c r="A485" s="350" t="s">
        <v>931</v>
      </c>
      <c r="B485" s="350" t="s">
        <v>7915</v>
      </c>
      <c r="C485" s="1" t="s">
        <v>7916</v>
      </c>
      <c r="D485" s="8">
        <v>3614</v>
      </c>
      <c r="F485" s="351" t="s">
        <v>7341</v>
      </c>
      <c r="G485" s="20"/>
      <c r="I485" s="1"/>
    </row>
    <row r="486" spans="1:9">
      <c r="A486" s="363">
        <v>32</v>
      </c>
      <c r="B486" s="350" t="s">
        <v>7917</v>
      </c>
      <c r="C486" s="1" t="s">
        <v>7918</v>
      </c>
      <c r="D486" s="8">
        <v>3673</v>
      </c>
      <c r="F486" s="350" t="s">
        <v>7343</v>
      </c>
      <c r="G486" s="20"/>
      <c r="I486" s="1"/>
    </row>
    <row r="487" spans="1:9">
      <c r="A487" s="363">
        <v>33</v>
      </c>
      <c r="B487" s="350" t="s">
        <v>3631</v>
      </c>
      <c r="C487" s="1" t="s">
        <v>7919</v>
      </c>
      <c r="D487" s="8">
        <v>3761</v>
      </c>
      <c r="F487" s="351" t="s">
        <v>7341</v>
      </c>
      <c r="G487" s="20"/>
      <c r="I487" s="1"/>
    </row>
    <row r="488" spans="1:9">
      <c r="A488" s="363">
        <v>34</v>
      </c>
      <c r="B488" s="350" t="s">
        <v>7920</v>
      </c>
      <c r="C488" s="1" t="s">
        <v>7921</v>
      </c>
      <c r="D488" s="8">
        <v>3724</v>
      </c>
      <c r="F488" s="350" t="s">
        <v>7343</v>
      </c>
      <c r="G488" s="20"/>
      <c r="I488" s="1"/>
    </row>
    <row r="489" spans="1:9">
      <c r="A489" s="363">
        <v>35</v>
      </c>
      <c r="B489" s="350" t="s">
        <v>3066</v>
      </c>
      <c r="C489" s="1" t="s">
        <v>7922</v>
      </c>
      <c r="D489" s="8">
        <v>3339</v>
      </c>
      <c r="F489" s="351" t="s">
        <v>7341</v>
      </c>
      <c r="G489" s="20"/>
      <c r="I489" s="1"/>
    </row>
    <row r="490" spans="1:9">
      <c r="D490" s="355"/>
    </row>
    <row r="491" spans="1:9">
      <c r="A491" s="351" t="s">
        <v>7341</v>
      </c>
      <c r="D491" s="353">
        <f>D456+D458+D459+D462+D463+D465+SUM(D467:D474)+D476+SUM(D478:D485)+D487+D489</f>
        <v>77007</v>
      </c>
    </row>
    <row r="492" spans="1:9">
      <c r="A492" s="350" t="s">
        <v>7685</v>
      </c>
      <c r="D492" s="353">
        <f>D455+D457+D460+D461+D464+D466+D475+D477+D486+D488</f>
        <v>31813</v>
      </c>
    </row>
    <row r="493" spans="1:9">
      <c r="A493" s="350"/>
      <c r="B493" s="350"/>
      <c r="D493" s="364"/>
    </row>
    <row r="494" spans="1:9">
      <c r="A494" s="351" t="s">
        <v>7923</v>
      </c>
      <c r="B494" s="350"/>
      <c r="D494" s="364"/>
    </row>
    <row r="497" spans="1:9">
      <c r="D497" s="10" t="s">
        <v>285</v>
      </c>
      <c r="E497" s="16"/>
      <c r="F497" s="5" t="s">
        <v>4116</v>
      </c>
    </row>
    <row r="498" spans="1:9">
      <c r="D498" s="15">
        <v>2016</v>
      </c>
      <c r="F498" s="18" t="s">
        <v>286</v>
      </c>
    </row>
    <row r="499" spans="1:9">
      <c r="A499" s="350" t="s">
        <v>7924</v>
      </c>
      <c r="D499" s="353">
        <f t="shared" ref="D499" si="56">SUM(D500:D521)</f>
        <v>61702</v>
      </c>
    </row>
    <row r="500" spans="1:9">
      <c r="A500" s="350" t="s">
        <v>812</v>
      </c>
      <c r="B500" s="350" t="s">
        <v>7925</v>
      </c>
      <c r="C500" s="1" t="s">
        <v>7926</v>
      </c>
      <c r="D500" s="13">
        <v>1560</v>
      </c>
      <c r="F500" s="350" t="s">
        <v>7349</v>
      </c>
      <c r="G500" s="1"/>
      <c r="I500" s="1"/>
    </row>
    <row r="501" spans="1:9">
      <c r="A501" s="350" t="s">
        <v>813</v>
      </c>
      <c r="B501" s="351" t="s">
        <v>7927</v>
      </c>
      <c r="C501" s="1" t="s">
        <v>7928</v>
      </c>
      <c r="D501" s="13">
        <v>3033</v>
      </c>
      <c r="F501" s="350" t="s">
        <v>7349</v>
      </c>
      <c r="G501" s="1"/>
      <c r="I501" s="1"/>
    </row>
    <row r="502" spans="1:9">
      <c r="A502" s="350" t="s">
        <v>814</v>
      </c>
      <c r="B502" s="350" t="s">
        <v>7929</v>
      </c>
      <c r="C502" s="1" t="s">
        <v>7930</v>
      </c>
      <c r="D502" s="13">
        <v>1776</v>
      </c>
      <c r="F502" s="350" t="s">
        <v>7349</v>
      </c>
      <c r="G502" s="1"/>
      <c r="I502" s="1"/>
    </row>
    <row r="503" spans="1:9">
      <c r="A503" s="350" t="s">
        <v>815</v>
      </c>
      <c r="B503" s="351" t="s">
        <v>7931</v>
      </c>
      <c r="C503" s="1" t="s">
        <v>7932</v>
      </c>
      <c r="D503" s="13">
        <v>1628</v>
      </c>
      <c r="F503" s="350" t="s">
        <v>7349</v>
      </c>
      <c r="G503" s="1"/>
      <c r="I503" s="1"/>
    </row>
    <row r="504" spans="1:9">
      <c r="A504" s="350" t="s">
        <v>816</v>
      </c>
      <c r="B504" s="350" t="s">
        <v>7933</v>
      </c>
      <c r="C504" s="1" t="s">
        <v>7934</v>
      </c>
      <c r="D504" s="13">
        <v>2800</v>
      </c>
      <c r="F504" s="350" t="s">
        <v>7349</v>
      </c>
      <c r="G504" s="1"/>
      <c r="I504" s="1"/>
    </row>
    <row r="505" spans="1:9">
      <c r="A505" s="350" t="s">
        <v>826</v>
      </c>
      <c r="B505" s="350" t="s">
        <v>7935</v>
      </c>
      <c r="C505" s="1" t="s">
        <v>7936</v>
      </c>
      <c r="D505" s="13">
        <v>3268</v>
      </c>
      <c r="F505" s="350" t="s">
        <v>7349</v>
      </c>
      <c r="G505" s="1"/>
      <c r="I505" s="1"/>
    </row>
    <row r="506" spans="1:9">
      <c r="A506" s="350" t="s">
        <v>827</v>
      </c>
      <c r="B506" s="350" t="s">
        <v>7937</v>
      </c>
      <c r="C506" s="1" t="s">
        <v>7938</v>
      </c>
      <c r="D506" s="13">
        <v>1546</v>
      </c>
      <c r="F506" s="350" t="s">
        <v>7349</v>
      </c>
      <c r="G506" s="1"/>
      <c r="I506" s="1"/>
    </row>
    <row r="507" spans="1:9">
      <c r="A507" s="350" t="s">
        <v>828</v>
      </c>
      <c r="B507" s="350" t="s">
        <v>7939</v>
      </c>
      <c r="C507" s="1" t="s">
        <v>7940</v>
      </c>
      <c r="D507" s="13">
        <v>3154</v>
      </c>
      <c r="F507" s="350" t="s">
        <v>7349</v>
      </c>
      <c r="G507" s="1"/>
      <c r="I507" s="1"/>
    </row>
    <row r="508" spans="1:9">
      <c r="A508" s="350" t="s">
        <v>829</v>
      </c>
      <c r="B508" s="350" t="s">
        <v>7941</v>
      </c>
      <c r="C508" s="1" t="s">
        <v>7942</v>
      </c>
      <c r="D508" s="13">
        <v>4552</v>
      </c>
      <c r="F508" s="350" t="s">
        <v>7349</v>
      </c>
      <c r="G508" s="1"/>
      <c r="I508" s="1"/>
    </row>
    <row r="509" spans="1:9">
      <c r="A509" s="350" t="s">
        <v>830</v>
      </c>
      <c r="B509" s="350" t="s">
        <v>7943</v>
      </c>
      <c r="C509" s="1" t="s">
        <v>7944</v>
      </c>
      <c r="D509" s="13">
        <v>1676</v>
      </c>
      <c r="F509" s="350" t="s">
        <v>7349</v>
      </c>
      <c r="G509" s="1"/>
      <c r="I509" s="1"/>
    </row>
    <row r="510" spans="1:9">
      <c r="A510" s="350" t="s">
        <v>831</v>
      </c>
      <c r="B510" s="351" t="s">
        <v>7945</v>
      </c>
      <c r="C510" s="1" t="s">
        <v>7946</v>
      </c>
      <c r="D510" s="13">
        <v>1772</v>
      </c>
      <c r="F510" s="350" t="s">
        <v>7349</v>
      </c>
      <c r="G510" s="1"/>
      <c r="I510" s="1"/>
    </row>
    <row r="511" spans="1:9">
      <c r="A511" s="350" t="s">
        <v>832</v>
      </c>
      <c r="B511" s="350" t="s">
        <v>7947</v>
      </c>
      <c r="C511" s="1" t="s">
        <v>7948</v>
      </c>
      <c r="D511" s="13">
        <v>3290</v>
      </c>
      <c r="F511" s="350" t="s">
        <v>7349</v>
      </c>
      <c r="G511" s="1"/>
      <c r="I511" s="1"/>
    </row>
    <row r="512" spans="1:9">
      <c r="A512" s="350" t="s">
        <v>833</v>
      </c>
      <c r="B512" s="350" t="s">
        <v>474</v>
      </c>
      <c r="C512" s="1" t="s">
        <v>7949</v>
      </c>
      <c r="D512" s="13">
        <v>2652</v>
      </c>
      <c r="F512" s="350" t="s">
        <v>7349</v>
      </c>
      <c r="G512" s="1"/>
      <c r="I512" s="1"/>
    </row>
    <row r="513" spans="1:9">
      <c r="A513" s="350" t="s">
        <v>834</v>
      </c>
      <c r="B513" s="350" t="s">
        <v>7950</v>
      </c>
      <c r="C513" s="1" t="s">
        <v>7951</v>
      </c>
      <c r="D513" s="13">
        <v>3315</v>
      </c>
      <c r="F513" s="350" t="s">
        <v>7349</v>
      </c>
      <c r="G513" s="1"/>
      <c r="I513" s="1"/>
    </row>
    <row r="514" spans="1:9">
      <c r="A514" s="350" t="s">
        <v>835</v>
      </c>
      <c r="B514" s="350" t="s">
        <v>7952</v>
      </c>
      <c r="C514" s="1" t="s">
        <v>7953</v>
      </c>
      <c r="D514" s="13">
        <v>3002</v>
      </c>
      <c r="F514" s="350" t="s">
        <v>7349</v>
      </c>
      <c r="G514" s="1"/>
      <c r="I514" s="1"/>
    </row>
    <row r="515" spans="1:9">
      <c r="A515" s="350" t="s">
        <v>836</v>
      </c>
      <c r="B515" s="350" t="s">
        <v>7954</v>
      </c>
      <c r="C515" s="1" t="s">
        <v>7955</v>
      </c>
      <c r="D515" s="13">
        <v>5194</v>
      </c>
      <c r="F515" s="350" t="s">
        <v>7349</v>
      </c>
      <c r="G515" s="1"/>
      <c r="I515" s="1"/>
    </row>
    <row r="516" spans="1:9">
      <c r="A516" s="350" t="s">
        <v>837</v>
      </c>
      <c r="B516" s="350" t="s">
        <v>7956</v>
      </c>
      <c r="C516" s="1" t="s">
        <v>7957</v>
      </c>
      <c r="D516" s="13">
        <v>3253</v>
      </c>
      <c r="F516" s="350" t="s">
        <v>7349</v>
      </c>
      <c r="G516" s="1"/>
      <c r="I516" s="1"/>
    </row>
    <row r="517" spans="1:9">
      <c r="A517" s="350" t="s">
        <v>838</v>
      </c>
      <c r="B517" s="351" t="s">
        <v>7958</v>
      </c>
      <c r="C517" s="1" t="s">
        <v>7959</v>
      </c>
      <c r="D517" s="13">
        <v>3091</v>
      </c>
      <c r="F517" s="350" t="s">
        <v>7349</v>
      </c>
      <c r="G517" s="1"/>
      <c r="I517" s="1"/>
    </row>
    <row r="518" spans="1:9">
      <c r="A518" s="350" t="s">
        <v>840</v>
      </c>
      <c r="B518" s="350" t="s">
        <v>7960</v>
      </c>
      <c r="C518" s="1" t="s">
        <v>7961</v>
      </c>
      <c r="D518" s="13">
        <v>1559</v>
      </c>
      <c r="F518" s="350" t="s">
        <v>7349</v>
      </c>
      <c r="G518" s="1"/>
      <c r="I518" s="1"/>
    </row>
    <row r="519" spans="1:9">
      <c r="A519" s="350" t="s">
        <v>841</v>
      </c>
      <c r="B519" s="350" t="s">
        <v>7962</v>
      </c>
      <c r="C519" s="1" t="s">
        <v>7963</v>
      </c>
      <c r="D519" s="13">
        <v>4300</v>
      </c>
      <c r="F519" s="350" t="s">
        <v>7349</v>
      </c>
      <c r="G519" s="1"/>
      <c r="I519" s="1"/>
    </row>
    <row r="520" spans="1:9">
      <c r="A520" s="350" t="s">
        <v>878</v>
      </c>
      <c r="B520" s="350" t="s">
        <v>7964</v>
      </c>
      <c r="C520" s="1" t="s">
        <v>7965</v>
      </c>
      <c r="D520" s="13">
        <v>3613</v>
      </c>
      <c r="F520" s="350" t="s">
        <v>7349</v>
      </c>
      <c r="G520" s="1"/>
      <c r="I520" s="1"/>
    </row>
    <row r="521" spans="1:9">
      <c r="A521" s="350" t="s">
        <v>879</v>
      </c>
      <c r="B521" s="350" t="s">
        <v>7966</v>
      </c>
      <c r="C521" s="1" t="s">
        <v>7967</v>
      </c>
      <c r="D521" s="13">
        <v>1668</v>
      </c>
      <c r="F521" s="350" t="s">
        <v>7349</v>
      </c>
      <c r="G521" s="1"/>
      <c r="I521" s="1"/>
    </row>
    <row r="522" spans="1:9">
      <c r="D522" s="355"/>
    </row>
    <row r="523" spans="1:9">
      <c r="A523" s="350" t="s">
        <v>7521</v>
      </c>
      <c r="D523" s="353">
        <f t="shared" ref="D523" si="57">SUM(D500:D521)</f>
        <v>61702</v>
      </c>
    </row>
    <row r="525" spans="1:9">
      <c r="A525" s="351" t="s">
        <v>7968</v>
      </c>
    </row>
  </sheetData>
  <printOptions gridLinesSet="0"/>
  <pageMargins left="0.78740157480314965" right="0" top="0.51181102362204722" bottom="0.51181102362204722" header="0.51181102362204722" footer="0.51181102362204722"/>
  <pageSetup paperSize="9" scale="58" orientation="portrait" horizontalDpi="300" verticalDpi="300" r:id="rId1"/>
  <headerFooter alignWithMargins="0">
    <oddFooter>&amp;C&amp;"Times New Roman,Regular"&amp;8&amp;P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47"/>
  <sheetViews>
    <sheetView showGridLines="0" zoomScaleNormal="100" workbookViewId="0"/>
  </sheetViews>
  <sheetFormatPr defaultColWidth="12.59765625" defaultRowHeight="14.5"/>
  <cols>
    <col min="1" max="1" width="4.8984375" style="95" customWidth="1"/>
    <col min="2" max="2" width="40.69921875" style="95" customWidth="1"/>
    <col min="3" max="3" width="11.59765625" style="95" customWidth="1"/>
    <col min="4" max="4" width="10" style="95" customWidth="1"/>
    <col min="5" max="5" width="2.296875" style="95" customWidth="1"/>
    <col min="6" max="6" width="31.69921875" style="95" customWidth="1"/>
    <col min="7" max="16384" width="12.59765625" style="95"/>
  </cols>
  <sheetData>
    <row r="1" spans="1:6">
      <c r="A1" s="14" t="s">
        <v>1075</v>
      </c>
      <c r="D1" s="96">
        <v>2016</v>
      </c>
    </row>
    <row r="3" spans="1:6">
      <c r="A3" s="14" t="s">
        <v>624</v>
      </c>
      <c r="D3" s="97">
        <f>SUM(D5:D10)</f>
        <v>460522</v>
      </c>
    </row>
    <row r="4" spans="1:6">
      <c r="A4" s="14"/>
      <c r="D4" s="97"/>
      <c r="F4" s="98"/>
    </row>
    <row r="5" spans="1:6">
      <c r="A5" s="14" t="s">
        <v>881</v>
      </c>
      <c r="C5" s="14"/>
      <c r="D5" s="97">
        <f>D45</f>
        <v>85812</v>
      </c>
      <c r="F5" s="98"/>
    </row>
    <row r="6" spans="1:6">
      <c r="A6" s="14" t="s">
        <v>882</v>
      </c>
      <c r="C6" s="14"/>
      <c r="D6" s="97">
        <f>D75</f>
        <v>65825</v>
      </c>
      <c r="F6" s="98"/>
    </row>
    <row r="7" spans="1:6">
      <c r="A7" s="14" t="s">
        <v>498</v>
      </c>
      <c r="C7" s="14"/>
      <c r="D7" s="97">
        <f>D116</f>
        <v>65175</v>
      </c>
      <c r="F7" s="98"/>
    </row>
    <row r="8" spans="1:6">
      <c r="A8" s="14" t="s">
        <v>706</v>
      </c>
      <c r="C8" s="14"/>
      <c r="D8" s="97">
        <f>D152</f>
        <v>86427</v>
      </c>
      <c r="F8" s="98"/>
    </row>
    <row r="9" spans="1:6">
      <c r="A9" s="14" t="s">
        <v>707</v>
      </c>
      <c r="C9" s="14"/>
      <c r="D9" s="97">
        <f>D177</f>
        <v>91294</v>
      </c>
      <c r="F9" s="98"/>
    </row>
    <row r="10" spans="1:6">
      <c r="A10" s="14" t="s">
        <v>708</v>
      </c>
      <c r="C10" s="14"/>
      <c r="D10" s="97">
        <f>D219</f>
        <v>65989</v>
      </c>
      <c r="F10" s="98"/>
    </row>
    <row r="12" spans="1:6">
      <c r="A12" s="14" t="s">
        <v>709</v>
      </c>
      <c r="D12" s="97">
        <f>D67</f>
        <v>72665</v>
      </c>
      <c r="F12" s="14" t="s">
        <v>710</v>
      </c>
    </row>
    <row r="13" spans="1:6">
      <c r="D13" s="99"/>
    </row>
    <row r="14" spans="1:6">
      <c r="A14" s="106" t="s">
        <v>2327</v>
      </c>
      <c r="D14" s="99">
        <f>'"AVON"'!D19</f>
        <v>53714</v>
      </c>
      <c r="F14" s="106" t="s">
        <v>144</v>
      </c>
    </row>
    <row r="15" spans="1:6" ht="15" thickBot="1">
      <c r="D15" s="138">
        <f>D209</f>
        <v>23641</v>
      </c>
      <c r="F15" s="14" t="s">
        <v>715</v>
      </c>
    </row>
    <row r="16" spans="1:6" ht="15" thickBot="1">
      <c r="D16" s="139">
        <f>D14+D15</f>
        <v>77355</v>
      </c>
    </row>
    <row r="17" spans="1:6">
      <c r="D17" s="99"/>
    </row>
    <row r="18" spans="1:6">
      <c r="A18" s="14" t="s">
        <v>712</v>
      </c>
      <c r="D18" s="97">
        <f>D169</f>
        <v>73368</v>
      </c>
      <c r="F18" s="14" t="s">
        <v>713</v>
      </c>
    </row>
    <row r="19" spans="1:6">
      <c r="D19" s="99"/>
    </row>
    <row r="20" spans="1:6">
      <c r="A20" s="14" t="s">
        <v>714</v>
      </c>
      <c r="D20" s="97">
        <f>D170</f>
        <v>13059</v>
      </c>
      <c r="F20" s="14" t="s">
        <v>713</v>
      </c>
    </row>
    <row r="21" spans="1:6" ht="15" thickBot="1">
      <c r="A21" s="14"/>
      <c r="D21" s="100">
        <f>D210</f>
        <v>58784</v>
      </c>
      <c r="F21" s="14" t="s">
        <v>715</v>
      </c>
    </row>
    <row r="22" spans="1:6" ht="15" thickBot="1">
      <c r="A22" s="14"/>
      <c r="D22" s="105">
        <f>D20+D21</f>
        <v>71843</v>
      </c>
      <c r="F22" s="14"/>
    </row>
    <row r="23" spans="1:6">
      <c r="D23" s="99"/>
    </row>
    <row r="24" spans="1:6">
      <c r="A24" s="14" t="s">
        <v>716</v>
      </c>
      <c r="D24" s="97">
        <f>D68</f>
        <v>13147</v>
      </c>
      <c r="F24" s="14" t="s">
        <v>710</v>
      </c>
    </row>
    <row r="25" spans="1:6" ht="15" thickBot="1">
      <c r="D25" s="100">
        <f>D243</f>
        <v>58810</v>
      </c>
      <c r="F25" s="14" t="s">
        <v>711</v>
      </c>
    </row>
    <row r="26" spans="1:6" ht="15" thickBot="1">
      <c r="D26" s="100">
        <f>D24+D25</f>
        <v>71957</v>
      </c>
    </row>
    <row r="27" spans="1:6">
      <c r="D27" s="99"/>
    </row>
    <row r="28" spans="1:6">
      <c r="A28" s="14" t="s">
        <v>717</v>
      </c>
      <c r="D28" s="97">
        <f>D109</f>
        <v>65825</v>
      </c>
      <c r="F28" s="14" t="s">
        <v>1039</v>
      </c>
    </row>
    <row r="29" spans="1:6" ht="15" thickBot="1">
      <c r="D29" s="100">
        <f>D211</f>
        <v>8869</v>
      </c>
      <c r="F29" s="14" t="s">
        <v>715</v>
      </c>
    </row>
    <row r="30" spans="1:6" ht="15" thickBot="1">
      <c r="D30" s="100">
        <f>D28+D29</f>
        <v>74694</v>
      </c>
    </row>
    <row r="31" spans="1:6">
      <c r="D31" s="140"/>
    </row>
    <row r="32" spans="1:6">
      <c r="A32" s="14" t="s">
        <v>2329</v>
      </c>
      <c r="D32" s="97">
        <f>D145</f>
        <v>65175</v>
      </c>
      <c r="F32" s="14" t="s">
        <v>1040</v>
      </c>
    </row>
    <row r="33" spans="1:9" ht="15" thickBot="1">
      <c r="D33" s="100">
        <f>D244</f>
        <v>7179</v>
      </c>
      <c r="F33" s="14" t="s">
        <v>711</v>
      </c>
    </row>
    <row r="34" spans="1:9" ht="15" thickBot="1">
      <c r="D34" s="100">
        <f>D32+D33</f>
        <v>72354</v>
      </c>
    </row>
    <row r="35" spans="1:9">
      <c r="D35" s="99"/>
    </row>
    <row r="36" spans="1:9">
      <c r="A36" s="14" t="s">
        <v>1041</v>
      </c>
      <c r="D36" s="97">
        <f>D12+D15+D18+D22+D26+D30+D34</f>
        <v>460522</v>
      </c>
    </row>
    <row r="37" spans="1:9">
      <c r="D37" s="99"/>
    </row>
    <row r="38" spans="1:9">
      <c r="A38" s="14" t="s">
        <v>1042</v>
      </c>
      <c r="D38" s="97">
        <f>MAX(D12,D16,D18,D21,D26,D30,D34)-MIN(D12,D16,D18,D26,D30,D34)</f>
        <v>5398</v>
      </c>
    </row>
    <row r="39" spans="1:9">
      <c r="D39" s="99"/>
    </row>
    <row r="40" spans="1:9">
      <c r="A40" s="14" t="s">
        <v>1045</v>
      </c>
      <c r="D40" s="97">
        <f>STDEVP(D12,D16,D18,D21,D26,D30,D34)</f>
        <v>5501.930251265997</v>
      </c>
    </row>
    <row r="41" spans="1:9">
      <c r="A41" s="14"/>
      <c r="D41" s="101"/>
    </row>
    <row r="42" spans="1:9">
      <c r="A42" s="14"/>
      <c r="D42" s="101"/>
    </row>
    <row r="43" spans="1:9">
      <c r="D43" s="10" t="s">
        <v>285</v>
      </c>
      <c r="E43" s="16"/>
      <c r="F43" s="17" t="s">
        <v>1842</v>
      </c>
    </row>
    <row r="44" spans="1:9">
      <c r="D44" s="15">
        <v>2016</v>
      </c>
      <c r="E44" s="16"/>
      <c r="F44" s="18" t="s">
        <v>286</v>
      </c>
    </row>
    <row r="45" spans="1:9">
      <c r="A45" s="14" t="s">
        <v>718</v>
      </c>
      <c r="C45" s="14"/>
      <c r="D45" s="97">
        <f>SUM(D46:D65)</f>
        <v>85812</v>
      </c>
    </row>
    <row r="46" spans="1:9">
      <c r="A46" s="14" t="s">
        <v>812</v>
      </c>
      <c r="B46" s="14" t="s">
        <v>601</v>
      </c>
      <c r="C46" s="1" t="s">
        <v>1616</v>
      </c>
      <c r="D46" s="13">
        <v>3909</v>
      </c>
      <c r="F46" s="14" t="s">
        <v>709</v>
      </c>
      <c r="G46" s="1"/>
      <c r="I46" s="1"/>
    </row>
    <row r="47" spans="1:9">
      <c r="A47" s="102">
        <v>2</v>
      </c>
      <c r="B47" s="14" t="s">
        <v>887</v>
      </c>
      <c r="C47" s="1" t="s">
        <v>1617</v>
      </c>
      <c r="D47" s="13">
        <v>4142</v>
      </c>
      <c r="F47" s="14" t="s">
        <v>709</v>
      </c>
      <c r="G47" s="1"/>
      <c r="I47" s="1"/>
    </row>
    <row r="48" spans="1:9">
      <c r="A48" s="102">
        <v>3</v>
      </c>
      <c r="B48" s="14" t="s">
        <v>1017</v>
      </c>
      <c r="C48" s="1" t="s">
        <v>1618</v>
      </c>
      <c r="D48" s="13">
        <v>4095</v>
      </c>
      <c r="F48" s="14" t="s">
        <v>709</v>
      </c>
      <c r="G48" s="1"/>
      <c r="I48" s="1"/>
    </row>
    <row r="49" spans="1:9">
      <c r="A49" s="14" t="s">
        <v>815</v>
      </c>
      <c r="B49" s="14" t="s">
        <v>1018</v>
      </c>
      <c r="C49" s="1" t="s">
        <v>1619</v>
      </c>
      <c r="D49" s="13">
        <v>4370</v>
      </c>
      <c r="F49" s="14" t="s">
        <v>709</v>
      </c>
      <c r="G49" s="1"/>
      <c r="I49" s="1"/>
    </row>
    <row r="50" spans="1:9">
      <c r="A50" s="14" t="s">
        <v>816</v>
      </c>
      <c r="B50" s="14" t="s">
        <v>1019</v>
      </c>
      <c r="C50" s="1" t="s">
        <v>1620</v>
      </c>
      <c r="D50" s="13">
        <v>4028</v>
      </c>
      <c r="F50" s="14" t="s">
        <v>709</v>
      </c>
      <c r="G50" s="1"/>
      <c r="I50" s="1"/>
    </row>
    <row r="51" spans="1:9">
      <c r="A51" s="14" t="s">
        <v>826</v>
      </c>
      <c r="B51" s="14" t="s">
        <v>246</v>
      </c>
      <c r="C51" s="1" t="s">
        <v>1621</v>
      </c>
      <c r="D51" s="13">
        <v>4184</v>
      </c>
      <c r="F51" s="14" t="s">
        <v>709</v>
      </c>
      <c r="G51" s="1"/>
      <c r="I51" s="1"/>
    </row>
    <row r="52" spans="1:9">
      <c r="A52" s="14" t="s">
        <v>827</v>
      </c>
      <c r="B52" s="14" t="s">
        <v>1020</v>
      </c>
      <c r="C52" s="1" t="s">
        <v>1622</v>
      </c>
      <c r="D52" s="13">
        <v>4681</v>
      </c>
      <c r="F52" s="14" t="s">
        <v>709</v>
      </c>
      <c r="G52" s="1"/>
      <c r="I52" s="1"/>
    </row>
    <row r="53" spans="1:9">
      <c r="A53" s="14" t="s">
        <v>828</v>
      </c>
      <c r="B53" s="14" t="s">
        <v>151</v>
      </c>
      <c r="C53" s="1" t="s">
        <v>1623</v>
      </c>
      <c r="D53" s="13">
        <v>3989</v>
      </c>
      <c r="F53" s="14" t="s">
        <v>709</v>
      </c>
      <c r="G53" s="1"/>
      <c r="I53" s="1"/>
    </row>
    <row r="54" spans="1:9">
      <c r="A54" s="14" t="s">
        <v>829</v>
      </c>
      <c r="B54" s="14" t="s">
        <v>1021</v>
      </c>
      <c r="C54" s="1" t="s">
        <v>1624</v>
      </c>
      <c r="D54" s="13">
        <v>4290</v>
      </c>
      <c r="F54" s="14" t="s">
        <v>709</v>
      </c>
      <c r="G54" s="1"/>
      <c r="I54" s="1"/>
    </row>
    <row r="55" spans="1:9">
      <c r="A55" s="14" t="s">
        <v>830</v>
      </c>
      <c r="B55" s="14" t="s">
        <v>876</v>
      </c>
      <c r="C55" s="1" t="s">
        <v>1625</v>
      </c>
      <c r="D55" s="13">
        <v>4278</v>
      </c>
      <c r="F55" s="14" t="s">
        <v>709</v>
      </c>
      <c r="G55" s="1"/>
      <c r="I55" s="1"/>
    </row>
    <row r="56" spans="1:9">
      <c r="A56" s="14" t="s">
        <v>831</v>
      </c>
      <c r="B56" s="14" t="s">
        <v>303</v>
      </c>
      <c r="C56" s="1" t="s">
        <v>1626</v>
      </c>
      <c r="D56" s="13">
        <v>4703</v>
      </c>
      <c r="F56" s="14" t="s">
        <v>709</v>
      </c>
      <c r="G56" s="1"/>
      <c r="I56" s="1"/>
    </row>
    <row r="57" spans="1:9">
      <c r="A57" s="14" t="s">
        <v>832</v>
      </c>
      <c r="B57" s="14" t="s">
        <v>1022</v>
      </c>
      <c r="C57" s="1" t="s">
        <v>1627</v>
      </c>
      <c r="D57" s="13">
        <v>4344</v>
      </c>
      <c r="F57" s="14" t="s">
        <v>709</v>
      </c>
      <c r="G57" s="1"/>
      <c r="I57" s="1"/>
    </row>
    <row r="58" spans="1:9">
      <c r="A58" s="14" t="s">
        <v>833</v>
      </c>
      <c r="B58" s="14" t="s">
        <v>1023</v>
      </c>
      <c r="C58" s="1" t="s">
        <v>1628</v>
      </c>
      <c r="D58" s="13">
        <v>4389</v>
      </c>
      <c r="F58" s="14" t="s">
        <v>716</v>
      </c>
      <c r="G58" s="1"/>
      <c r="I58" s="1"/>
    </row>
    <row r="59" spans="1:9">
      <c r="A59" s="14" t="s">
        <v>834</v>
      </c>
      <c r="B59" s="14" t="s">
        <v>1024</v>
      </c>
      <c r="C59" s="1" t="s">
        <v>1629</v>
      </c>
      <c r="D59" s="13">
        <v>4533</v>
      </c>
      <c r="F59" s="14" t="s">
        <v>709</v>
      </c>
      <c r="G59" s="1"/>
      <c r="I59" s="1"/>
    </row>
    <row r="60" spans="1:9">
      <c r="A60" s="103">
        <v>15</v>
      </c>
      <c r="B60" s="14" t="s">
        <v>1025</v>
      </c>
      <c r="C60" s="1" t="s">
        <v>1630</v>
      </c>
      <c r="D60" s="13">
        <v>3904</v>
      </c>
      <c r="F60" s="14" t="s">
        <v>709</v>
      </c>
      <c r="G60" s="1"/>
      <c r="I60" s="1"/>
    </row>
    <row r="61" spans="1:9">
      <c r="A61" s="103">
        <v>16</v>
      </c>
      <c r="B61" s="14" t="s">
        <v>1026</v>
      </c>
      <c r="C61" s="1" t="s">
        <v>1631</v>
      </c>
      <c r="D61" s="13">
        <v>4595</v>
      </c>
      <c r="F61" s="14" t="s">
        <v>709</v>
      </c>
      <c r="G61" s="1"/>
      <c r="I61" s="1"/>
    </row>
    <row r="62" spans="1:9">
      <c r="A62" s="103">
        <v>17</v>
      </c>
      <c r="B62" s="14" t="s">
        <v>1027</v>
      </c>
      <c r="C62" s="1" t="s">
        <v>1632</v>
      </c>
      <c r="D62" s="13">
        <v>4557</v>
      </c>
      <c r="F62" s="14" t="s">
        <v>716</v>
      </c>
      <c r="G62" s="1"/>
      <c r="I62" s="1"/>
    </row>
    <row r="63" spans="1:9">
      <c r="A63" s="103">
        <v>18</v>
      </c>
      <c r="B63" s="14" t="s">
        <v>1028</v>
      </c>
      <c r="C63" s="1" t="s">
        <v>1633</v>
      </c>
      <c r="D63" s="13">
        <v>4201</v>
      </c>
      <c r="F63" s="14" t="s">
        <v>716</v>
      </c>
      <c r="G63" s="1"/>
      <c r="I63" s="1"/>
    </row>
    <row r="64" spans="1:9">
      <c r="A64" s="103">
        <v>19</v>
      </c>
      <c r="B64" s="14" t="s">
        <v>898</v>
      </c>
      <c r="C64" s="1" t="s">
        <v>1634</v>
      </c>
      <c r="D64" s="13">
        <v>4274</v>
      </c>
      <c r="F64" s="14" t="s">
        <v>709</v>
      </c>
      <c r="G64" s="1"/>
      <c r="I64" s="1"/>
    </row>
    <row r="65" spans="1:9">
      <c r="A65" s="103">
        <v>20</v>
      </c>
      <c r="B65" s="14" t="s">
        <v>719</v>
      </c>
      <c r="C65" s="1" t="s">
        <v>1635</v>
      </c>
      <c r="D65" s="13">
        <v>4346</v>
      </c>
      <c r="F65" s="14" t="s">
        <v>709</v>
      </c>
      <c r="G65" s="1"/>
      <c r="I65" s="1"/>
    </row>
    <row r="66" spans="1:9">
      <c r="D66" s="97"/>
      <c r="F66" s="14"/>
    </row>
    <row r="67" spans="1:9">
      <c r="A67" s="14" t="s">
        <v>709</v>
      </c>
      <c r="D67" s="97">
        <f>SUM(D46:D57)+SUM(D59:D61)+D64+D65</f>
        <v>72665</v>
      </c>
    </row>
    <row r="68" spans="1:9">
      <c r="A68" s="14" t="s">
        <v>720</v>
      </c>
      <c r="D68" s="97">
        <f>D58+D62+D63</f>
        <v>13147</v>
      </c>
    </row>
    <row r="69" spans="1:9">
      <c r="A69" s="14"/>
      <c r="D69" s="97"/>
    </row>
    <row r="70" spans="1:9">
      <c r="A70" s="14" t="s">
        <v>884</v>
      </c>
      <c r="D70" s="97"/>
    </row>
    <row r="71" spans="1:9">
      <c r="A71" s="14"/>
      <c r="B71" s="14"/>
      <c r="D71" s="104"/>
    </row>
    <row r="72" spans="1:9">
      <c r="A72" s="14"/>
      <c r="B72" s="14"/>
      <c r="D72" s="104"/>
    </row>
    <row r="73" spans="1:9">
      <c r="D73" s="10" t="s">
        <v>285</v>
      </c>
      <c r="E73" s="16"/>
      <c r="F73" s="17" t="s">
        <v>1842</v>
      </c>
    </row>
    <row r="74" spans="1:9">
      <c r="D74" s="15">
        <v>2016</v>
      </c>
      <c r="E74" s="16"/>
      <c r="F74" s="18" t="s">
        <v>286</v>
      </c>
    </row>
    <row r="75" spans="1:9">
      <c r="A75" s="14" t="s">
        <v>885</v>
      </c>
      <c r="D75" s="97">
        <f>SUM(D76:D107)</f>
        <v>65825</v>
      </c>
      <c r="E75" s="97"/>
    </row>
    <row r="76" spans="1:9">
      <c r="A76" s="14" t="s">
        <v>812</v>
      </c>
      <c r="B76" s="14" t="s">
        <v>998</v>
      </c>
      <c r="C76" s="1" t="s">
        <v>2170</v>
      </c>
      <c r="D76" s="7">
        <v>1859</v>
      </c>
      <c r="F76" s="14" t="s">
        <v>717</v>
      </c>
      <c r="G76" s="1"/>
      <c r="I76" s="1"/>
    </row>
    <row r="77" spans="1:9">
      <c r="A77" s="14" t="s">
        <v>813</v>
      </c>
      <c r="B77" s="14" t="s">
        <v>886</v>
      </c>
      <c r="C77" s="1" t="s">
        <v>2171</v>
      </c>
      <c r="D77" s="7">
        <v>2121</v>
      </c>
      <c r="F77" s="14" t="s">
        <v>717</v>
      </c>
      <c r="G77" s="1"/>
      <c r="I77" s="1"/>
    </row>
    <row r="78" spans="1:9">
      <c r="A78" s="14" t="s">
        <v>814</v>
      </c>
      <c r="B78" s="14" t="s">
        <v>2211</v>
      </c>
      <c r="C78" s="1" t="s">
        <v>2172</v>
      </c>
      <c r="D78" s="7">
        <v>2164</v>
      </c>
      <c r="F78" s="14" t="s">
        <v>717</v>
      </c>
      <c r="G78" s="1"/>
      <c r="I78" s="1"/>
    </row>
    <row r="79" spans="1:9">
      <c r="A79" s="14" t="s">
        <v>815</v>
      </c>
      <c r="B79" s="14" t="s">
        <v>2212</v>
      </c>
      <c r="C79" s="1" t="s">
        <v>2173</v>
      </c>
      <c r="D79" s="7">
        <v>1989</v>
      </c>
      <c r="F79" s="14" t="s">
        <v>717</v>
      </c>
      <c r="G79" s="1"/>
      <c r="I79" s="1"/>
    </row>
    <row r="80" spans="1:9">
      <c r="A80" s="14" t="s">
        <v>816</v>
      </c>
      <c r="B80" s="14" t="s">
        <v>2213</v>
      </c>
      <c r="C80" s="1" t="s">
        <v>2174</v>
      </c>
      <c r="D80" s="7">
        <v>4331</v>
      </c>
      <c r="F80" s="14" t="s">
        <v>717</v>
      </c>
      <c r="G80" s="1"/>
      <c r="I80" s="1"/>
    </row>
    <row r="81" spans="1:9">
      <c r="A81" s="14" t="s">
        <v>826</v>
      </c>
      <c r="B81" s="14" t="s">
        <v>2214</v>
      </c>
      <c r="C81" s="1" t="s">
        <v>2175</v>
      </c>
      <c r="D81" s="7">
        <v>1975</v>
      </c>
      <c r="F81" s="14" t="s">
        <v>717</v>
      </c>
      <c r="G81" s="1"/>
      <c r="I81" s="1"/>
    </row>
    <row r="82" spans="1:9">
      <c r="A82" s="102">
        <v>7</v>
      </c>
      <c r="B82" s="14" t="s">
        <v>308</v>
      </c>
      <c r="C82" s="1" t="s">
        <v>2176</v>
      </c>
      <c r="D82" s="7">
        <v>1814</v>
      </c>
      <c r="F82" s="14" t="s">
        <v>717</v>
      </c>
      <c r="G82" s="1"/>
      <c r="I82" s="1"/>
    </row>
    <row r="83" spans="1:9">
      <c r="A83" s="102">
        <v>8</v>
      </c>
      <c r="B83" s="14" t="s">
        <v>2215</v>
      </c>
      <c r="C83" s="1" t="s">
        <v>2177</v>
      </c>
      <c r="D83" s="7">
        <v>1948</v>
      </c>
      <c r="F83" s="14" t="s">
        <v>717</v>
      </c>
      <c r="G83" s="1"/>
      <c r="I83" s="1"/>
    </row>
    <row r="84" spans="1:9">
      <c r="A84" s="102">
        <v>9</v>
      </c>
      <c r="B84" s="14" t="s">
        <v>532</v>
      </c>
      <c r="C84" s="1" t="s">
        <v>2178</v>
      </c>
      <c r="D84" s="7">
        <v>1994</v>
      </c>
      <c r="F84" s="14" t="s">
        <v>717</v>
      </c>
      <c r="G84" s="1"/>
      <c r="I84" s="1"/>
    </row>
    <row r="85" spans="1:9">
      <c r="A85" s="102">
        <v>10</v>
      </c>
      <c r="B85" s="14" t="s">
        <v>2216</v>
      </c>
      <c r="C85" s="1" t="s">
        <v>2179</v>
      </c>
      <c r="D85" s="7">
        <v>1825</v>
      </c>
      <c r="F85" s="14" t="s">
        <v>717</v>
      </c>
      <c r="G85" s="1"/>
      <c r="I85" s="1"/>
    </row>
    <row r="86" spans="1:9">
      <c r="A86" s="102">
        <v>11</v>
      </c>
      <c r="B86" s="14" t="s">
        <v>304</v>
      </c>
      <c r="C86" s="1" t="s">
        <v>2180</v>
      </c>
      <c r="D86" s="7">
        <v>2065</v>
      </c>
      <c r="F86" s="14" t="s">
        <v>717</v>
      </c>
      <c r="G86" s="1"/>
      <c r="I86" s="1"/>
    </row>
    <row r="87" spans="1:9">
      <c r="A87" s="102">
        <v>12</v>
      </c>
      <c r="B87" s="95" t="s">
        <v>2223</v>
      </c>
      <c r="C87" s="1" t="s">
        <v>2181</v>
      </c>
      <c r="D87" s="7">
        <v>1431</v>
      </c>
      <c r="F87" s="14" t="s">
        <v>717</v>
      </c>
      <c r="G87" s="1"/>
      <c r="I87" s="1"/>
    </row>
    <row r="88" spans="1:9">
      <c r="A88" s="14" t="s">
        <v>833</v>
      </c>
      <c r="B88" s="14" t="s">
        <v>2217</v>
      </c>
      <c r="C88" s="1" t="s">
        <v>2182</v>
      </c>
      <c r="D88" s="7">
        <v>2005</v>
      </c>
      <c r="F88" s="14" t="s">
        <v>717</v>
      </c>
      <c r="G88" s="1"/>
      <c r="I88" s="1"/>
    </row>
    <row r="89" spans="1:9">
      <c r="A89" s="14" t="s">
        <v>834</v>
      </c>
      <c r="B89" s="14" t="s">
        <v>2218</v>
      </c>
      <c r="C89" s="1" t="s">
        <v>2183</v>
      </c>
      <c r="D89" s="7">
        <v>2003</v>
      </c>
      <c r="F89" s="14" t="s">
        <v>717</v>
      </c>
      <c r="G89" s="1"/>
      <c r="I89" s="1"/>
    </row>
    <row r="90" spans="1:9">
      <c r="A90" s="14" t="s">
        <v>835</v>
      </c>
      <c r="B90" s="14" t="s">
        <v>2219</v>
      </c>
      <c r="C90" s="1" t="s">
        <v>2184</v>
      </c>
      <c r="D90" s="7">
        <v>4184</v>
      </c>
      <c r="F90" s="14" t="s">
        <v>717</v>
      </c>
      <c r="G90" s="1"/>
      <c r="I90" s="1"/>
    </row>
    <row r="91" spans="1:9">
      <c r="A91" s="14" t="s">
        <v>836</v>
      </c>
      <c r="B91" s="14" t="s">
        <v>2220</v>
      </c>
      <c r="C91" s="1" t="s">
        <v>2185</v>
      </c>
      <c r="D91" s="8">
        <v>1897</v>
      </c>
      <c r="F91" s="14" t="s">
        <v>717</v>
      </c>
      <c r="G91" s="1"/>
      <c r="I91" s="1"/>
    </row>
    <row r="92" spans="1:9">
      <c r="A92" s="14" t="s">
        <v>837</v>
      </c>
      <c r="B92" s="14" t="s">
        <v>2221</v>
      </c>
      <c r="C92" s="1" t="s">
        <v>2186</v>
      </c>
      <c r="D92" s="8">
        <v>1881</v>
      </c>
      <c r="F92" s="14" t="s">
        <v>717</v>
      </c>
      <c r="G92" s="1"/>
      <c r="I92" s="1"/>
    </row>
    <row r="93" spans="1:9">
      <c r="A93" s="14" t="s">
        <v>838</v>
      </c>
      <c r="B93" s="14" t="s">
        <v>2222</v>
      </c>
      <c r="C93" s="1" t="s">
        <v>2187</v>
      </c>
      <c r="D93" s="8">
        <v>1848</v>
      </c>
      <c r="F93" s="14" t="s">
        <v>717</v>
      </c>
      <c r="G93" s="1"/>
      <c r="I93" s="1"/>
    </row>
    <row r="94" spans="1:9">
      <c r="A94" s="14" t="s">
        <v>840</v>
      </c>
      <c r="B94" s="14" t="s">
        <v>305</v>
      </c>
      <c r="C94" s="1" t="s">
        <v>2188</v>
      </c>
      <c r="D94" s="8">
        <v>2074</v>
      </c>
      <c r="F94" s="14" t="s">
        <v>717</v>
      </c>
      <c r="G94" s="1"/>
      <c r="I94" s="1"/>
    </row>
    <row r="95" spans="1:9">
      <c r="A95" s="14" t="s">
        <v>841</v>
      </c>
      <c r="B95" s="14" t="s">
        <v>1074</v>
      </c>
      <c r="C95" s="1" t="s">
        <v>2189</v>
      </c>
      <c r="D95" s="8">
        <v>1857</v>
      </c>
      <c r="F95" s="14" t="s">
        <v>717</v>
      </c>
      <c r="G95" s="1"/>
      <c r="I95" s="1"/>
    </row>
    <row r="96" spans="1:9">
      <c r="A96" s="14" t="s">
        <v>878</v>
      </c>
      <c r="B96" s="14" t="s">
        <v>306</v>
      </c>
      <c r="C96" s="1" t="s">
        <v>2190</v>
      </c>
      <c r="D96" s="8">
        <v>2098</v>
      </c>
      <c r="F96" s="14" t="s">
        <v>717</v>
      </c>
      <c r="G96" s="1"/>
      <c r="I96" s="1"/>
    </row>
    <row r="97" spans="1:9">
      <c r="A97" s="14" t="s">
        <v>879</v>
      </c>
      <c r="B97" s="14" t="s">
        <v>2210</v>
      </c>
      <c r="C97" s="1" t="s">
        <v>2191</v>
      </c>
      <c r="D97" s="8">
        <v>1887</v>
      </c>
      <c r="F97" s="14" t="s">
        <v>717</v>
      </c>
      <c r="G97" s="1"/>
      <c r="I97" s="1"/>
    </row>
    <row r="98" spans="1:9">
      <c r="A98" s="14" t="s">
        <v>880</v>
      </c>
      <c r="B98" s="14" t="s">
        <v>2209</v>
      </c>
      <c r="C98" s="1" t="s">
        <v>2192</v>
      </c>
      <c r="D98" s="8">
        <v>1943</v>
      </c>
      <c r="F98" s="14" t="s">
        <v>717</v>
      </c>
      <c r="G98" s="1"/>
      <c r="I98" s="1"/>
    </row>
    <row r="99" spans="1:9">
      <c r="A99" s="14" t="s">
        <v>721</v>
      </c>
      <c r="B99" s="14" t="s">
        <v>302</v>
      </c>
      <c r="C99" s="1" t="s">
        <v>2193</v>
      </c>
      <c r="D99" s="8">
        <v>2081</v>
      </c>
      <c r="F99" s="14" t="s">
        <v>717</v>
      </c>
      <c r="G99" s="1"/>
      <c r="I99" s="1"/>
    </row>
    <row r="100" spans="1:9">
      <c r="A100" s="14" t="s">
        <v>722</v>
      </c>
      <c r="B100" s="14" t="s">
        <v>546</v>
      </c>
      <c r="C100" s="1" t="s">
        <v>2194</v>
      </c>
      <c r="D100" s="8">
        <v>2018</v>
      </c>
      <c r="F100" s="14" t="s">
        <v>717</v>
      </c>
      <c r="G100" s="1"/>
      <c r="I100" s="1"/>
    </row>
    <row r="101" spans="1:9">
      <c r="A101" s="14" t="s">
        <v>723</v>
      </c>
      <c r="B101" s="14" t="s">
        <v>2208</v>
      </c>
      <c r="C101" s="1" t="s">
        <v>2195</v>
      </c>
      <c r="D101" s="8">
        <v>1549</v>
      </c>
      <c r="F101" s="14" t="s">
        <v>717</v>
      </c>
      <c r="G101" s="1"/>
      <c r="I101" s="1"/>
    </row>
    <row r="102" spans="1:9">
      <c r="A102" s="14" t="s">
        <v>733</v>
      </c>
      <c r="B102" s="14" t="s">
        <v>2207</v>
      </c>
      <c r="C102" s="1" t="s">
        <v>2196</v>
      </c>
      <c r="D102" s="8">
        <v>1602</v>
      </c>
      <c r="F102" s="14" t="s">
        <v>717</v>
      </c>
      <c r="G102" s="1"/>
      <c r="I102" s="1"/>
    </row>
    <row r="103" spans="1:9">
      <c r="A103" s="14" t="s">
        <v>734</v>
      </c>
      <c r="B103" s="14" t="s">
        <v>2206</v>
      </c>
      <c r="C103" s="1" t="s">
        <v>2197</v>
      </c>
      <c r="D103" s="8">
        <v>1686</v>
      </c>
      <c r="F103" s="14" t="s">
        <v>717</v>
      </c>
      <c r="G103" s="1"/>
      <c r="I103" s="1"/>
    </row>
    <row r="104" spans="1:9">
      <c r="A104" s="22">
        <v>29</v>
      </c>
      <c r="B104" s="14" t="s">
        <v>2205</v>
      </c>
      <c r="C104" s="1" t="s">
        <v>2198</v>
      </c>
      <c r="D104" s="8">
        <v>2133</v>
      </c>
      <c r="F104" s="14" t="s">
        <v>717</v>
      </c>
      <c r="G104" s="1"/>
      <c r="I104" s="1"/>
    </row>
    <row r="105" spans="1:9">
      <c r="A105" s="22">
        <v>30</v>
      </c>
      <c r="B105" s="14" t="s">
        <v>2204</v>
      </c>
      <c r="C105" s="1" t="s">
        <v>2199</v>
      </c>
      <c r="D105" s="8">
        <v>2023</v>
      </c>
      <c r="F105" s="14" t="s">
        <v>717</v>
      </c>
      <c r="G105" s="1"/>
      <c r="I105" s="1"/>
    </row>
    <row r="106" spans="1:9">
      <c r="A106" s="22">
        <v>31</v>
      </c>
      <c r="B106" s="14" t="s">
        <v>2203</v>
      </c>
      <c r="C106" s="1" t="s">
        <v>2200</v>
      </c>
      <c r="D106" s="8">
        <v>1511</v>
      </c>
      <c r="F106" s="14" t="s">
        <v>717</v>
      </c>
      <c r="G106" s="1"/>
      <c r="I106" s="1"/>
    </row>
    <row r="107" spans="1:9">
      <c r="A107" s="22">
        <v>32</v>
      </c>
      <c r="B107" s="14" t="s">
        <v>2202</v>
      </c>
      <c r="C107" s="1" t="s">
        <v>2201</v>
      </c>
      <c r="D107" s="8">
        <v>2029</v>
      </c>
      <c r="F107" s="14" t="s">
        <v>717</v>
      </c>
      <c r="G107" s="1"/>
      <c r="I107" s="1"/>
    </row>
    <row r="108" spans="1:9">
      <c r="D108" s="99"/>
    </row>
    <row r="109" spans="1:9">
      <c r="A109" s="14" t="s">
        <v>307</v>
      </c>
      <c r="D109" s="97">
        <f>SUM(D76:D107)</f>
        <v>65825</v>
      </c>
    </row>
    <row r="110" spans="1:9">
      <c r="A110" s="14"/>
      <c r="D110" s="97"/>
    </row>
    <row r="111" spans="1:9">
      <c r="A111" s="14" t="s">
        <v>2169</v>
      </c>
      <c r="D111" s="97"/>
    </row>
    <row r="112" spans="1:9">
      <c r="A112" s="14"/>
      <c r="B112" s="14"/>
      <c r="D112" s="104"/>
    </row>
    <row r="113" spans="1:9">
      <c r="A113" s="14"/>
      <c r="B113" s="14"/>
      <c r="D113" s="104"/>
    </row>
    <row r="114" spans="1:9">
      <c r="D114" s="10" t="s">
        <v>285</v>
      </c>
      <c r="E114" s="16"/>
      <c r="F114" s="17" t="s">
        <v>1842</v>
      </c>
    </row>
    <row r="115" spans="1:9">
      <c r="D115" s="15">
        <v>2016</v>
      </c>
      <c r="E115" s="16"/>
      <c r="F115" s="18" t="s">
        <v>286</v>
      </c>
    </row>
    <row r="116" spans="1:9">
      <c r="A116" s="14" t="s">
        <v>724</v>
      </c>
      <c r="D116" s="97">
        <f>SUM(D117:D143)</f>
        <v>65175</v>
      </c>
    </row>
    <row r="117" spans="1:9">
      <c r="A117" s="14" t="s">
        <v>812</v>
      </c>
      <c r="B117" s="14" t="s">
        <v>889</v>
      </c>
      <c r="C117" s="1" t="s">
        <v>1636</v>
      </c>
      <c r="D117" s="13">
        <v>2451</v>
      </c>
      <c r="F117" s="14" t="s">
        <v>2329</v>
      </c>
      <c r="G117" s="1"/>
      <c r="I117" s="1"/>
    </row>
    <row r="118" spans="1:9">
      <c r="A118" s="14" t="s">
        <v>813</v>
      </c>
      <c r="B118" s="14" t="s">
        <v>890</v>
      </c>
      <c r="C118" s="1" t="s">
        <v>1637</v>
      </c>
      <c r="D118" s="13">
        <v>1351</v>
      </c>
      <c r="F118" s="14" t="s">
        <v>2329</v>
      </c>
      <c r="G118" s="1"/>
      <c r="I118" s="1"/>
    </row>
    <row r="119" spans="1:9">
      <c r="A119" s="14" t="s">
        <v>814</v>
      </c>
      <c r="B119" s="14" t="s">
        <v>891</v>
      </c>
      <c r="C119" s="1" t="s">
        <v>1638</v>
      </c>
      <c r="D119" s="13">
        <v>1293</v>
      </c>
      <c r="F119" s="14" t="s">
        <v>2329</v>
      </c>
      <c r="G119" s="1"/>
      <c r="I119" s="1"/>
    </row>
    <row r="120" spans="1:9">
      <c r="A120" s="14" t="s">
        <v>815</v>
      </c>
      <c r="B120" s="14" t="s">
        <v>892</v>
      </c>
      <c r="C120" s="1" t="s">
        <v>1639</v>
      </c>
      <c r="D120" s="13">
        <v>1430</v>
      </c>
      <c r="F120" s="14" t="s">
        <v>2329</v>
      </c>
      <c r="G120" s="1"/>
      <c r="I120" s="1"/>
    </row>
    <row r="121" spans="1:9">
      <c r="A121" s="14" t="s">
        <v>816</v>
      </c>
      <c r="B121" s="14" t="s">
        <v>893</v>
      </c>
      <c r="C121" s="1" t="s">
        <v>1640</v>
      </c>
      <c r="D121" s="13">
        <v>2508</v>
      </c>
      <c r="F121" s="14" t="s">
        <v>2329</v>
      </c>
      <c r="G121" s="1"/>
      <c r="I121" s="1"/>
    </row>
    <row r="122" spans="1:9">
      <c r="A122" s="14" t="s">
        <v>826</v>
      </c>
      <c r="B122" s="14" t="s">
        <v>894</v>
      </c>
      <c r="C122" s="1" t="s">
        <v>1641</v>
      </c>
      <c r="D122" s="13">
        <v>1548</v>
      </c>
      <c r="F122" s="14" t="s">
        <v>2329</v>
      </c>
      <c r="G122" s="1"/>
      <c r="I122" s="1"/>
    </row>
    <row r="123" spans="1:9">
      <c r="A123" s="14" t="s">
        <v>827</v>
      </c>
      <c r="B123" s="14" t="s">
        <v>895</v>
      </c>
      <c r="C123" s="1" t="s">
        <v>1642</v>
      </c>
      <c r="D123" s="13">
        <v>1307</v>
      </c>
      <c r="F123" s="14" t="s">
        <v>2329</v>
      </c>
      <c r="G123" s="1"/>
      <c r="I123" s="1"/>
    </row>
    <row r="124" spans="1:9">
      <c r="A124" s="14" t="s">
        <v>828</v>
      </c>
      <c r="B124" s="14" t="s">
        <v>896</v>
      </c>
      <c r="C124" s="1" t="s">
        <v>1643</v>
      </c>
      <c r="D124" s="13">
        <v>1437</v>
      </c>
      <c r="F124" s="14" t="s">
        <v>2329</v>
      </c>
      <c r="G124" s="1"/>
      <c r="I124" s="1"/>
    </row>
    <row r="125" spans="1:9">
      <c r="A125" s="14" t="s">
        <v>829</v>
      </c>
      <c r="B125" s="14" t="s">
        <v>897</v>
      </c>
      <c r="C125" s="1" t="s">
        <v>1644</v>
      </c>
      <c r="D125" s="13">
        <v>2593</v>
      </c>
      <c r="F125" s="14" t="s">
        <v>2329</v>
      </c>
      <c r="G125" s="1"/>
      <c r="I125" s="1"/>
    </row>
    <row r="126" spans="1:9">
      <c r="A126" s="14" t="s">
        <v>830</v>
      </c>
      <c r="B126" s="14" t="s">
        <v>725</v>
      </c>
      <c r="C126" s="1" t="s">
        <v>1645</v>
      </c>
      <c r="D126" s="13">
        <v>3846</v>
      </c>
      <c r="F126" s="14" t="s">
        <v>2329</v>
      </c>
      <c r="G126" s="1"/>
      <c r="I126" s="1"/>
    </row>
    <row r="127" spans="1:9">
      <c r="A127" s="14" t="s">
        <v>831</v>
      </c>
      <c r="B127" s="14" t="s">
        <v>726</v>
      </c>
      <c r="C127" s="1" t="s">
        <v>1646</v>
      </c>
      <c r="D127" s="13">
        <v>2669</v>
      </c>
      <c r="F127" s="14" t="s">
        <v>2329</v>
      </c>
      <c r="G127" s="1"/>
      <c r="I127" s="1"/>
    </row>
    <row r="128" spans="1:9">
      <c r="A128" s="14" t="s">
        <v>832</v>
      </c>
      <c r="B128" s="14" t="s">
        <v>727</v>
      </c>
      <c r="C128" s="1" t="s">
        <v>1647</v>
      </c>
      <c r="D128" s="13">
        <v>4167</v>
      </c>
      <c r="F128" s="14" t="s">
        <v>2329</v>
      </c>
      <c r="G128" s="1"/>
      <c r="I128" s="1"/>
    </row>
    <row r="129" spans="1:9">
      <c r="A129" s="14" t="s">
        <v>833</v>
      </c>
      <c r="B129" s="14" t="s">
        <v>728</v>
      </c>
      <c r="C129" s="1" t="s">
        <v>1648</v>
      </c>
      <c r="D129" s="13">
        <v>1375</v>
      </c>
      <c r="F129" s="14" t="s">
        <v>2329</v>
      </c>
      <c r="G129" s="1"/>
      <c r="I129" s="1"/>
    </row>
    <row r="130" spans="1:9">
      <c r="A130" s="14" t="s">
        <v>834</v>
      </c>
      <c r="B130" s="14" t="s">
        <v>729</v>
      </c>
      <c r="C130" s="1" t="s">
        <v>1649</v>
      </c>
      <c r="D130" s="13">
        <v>1422</v>
      </c>
      <c r="F130" s="14" t="s">
        <v>2329</v>
      </c>
      <c r="G130" s="1"/>
      <c r="I130" s="1"/>
    </row>
    <row r="131" spans="1:9">
      <c r="A131" s="14" t="s">
        <v>835</v>
      </c>
      <c r="B131" s="14" t="s">
        <v>730</v>
      </c>
      <c r="C131" s="1" t="s">
        <v>1650</v>
      </c>
      <c r="D131" s="13">
        <v>3211</v>
      </c>
      <c r="F131" s="14" t="s">
        <v>2329</v>
      </c>
      <c r="G131" s="1"/>
      <c r="I131" s="1"/>
    </row>
    <row r="132" spans="1:9">
      <c r="A132" s="14" t="s">
        <v>836</v>
      </c>
      <c r="B132" s="14" t="s">
        <v>731</v>
      </c>
      <c r="C132" s="1" t="s">
        <v>1651</v>
      </c>
      <c r="D132" s="13">
        <v>3914</v>
      </c>
      <c r="F132" s="14" t="s">
        <v>2329</v>
      </c>
      <c r="G132" s="1"/>
      <c r="I132" s="1"/>
    </row>
    <row r="133" spans="1:9">
      <c r="A133" s="14" t="s">
        <v>837</v>
      </c>
      <c r="B133" s="14" t="s">
        <v>732</v>
      </c>
      <c r="C133" s="1" t="s">
        <v>1652</v>
      </c>
      <c r="D133" s="13">
        <v>4009</v>
      </c>
      <c r="F133" s="14" t="s">
        <v>2329</v>
      </c>
      <c r="G133" s="1"/>
      <c r="I133" s="1"/>
    </row>
    <row r="134" spans="1:9">
      <c r="A134" s="14" t="s">
        <v>838</v>
      </c>
      <c r="B134" s="14" t="s">
        <v>517</v>
      </c>
      <c r="C134" s="1" t="s">
        <v>1653</v>
      </c>
      <c r="D134" s="13">
        <v>1512</v>
      </c>
      <c r="F134" s="14" t="s">
        <v>2329</v>
      </c>
      <c r="G134" s="1"/>
      <c r="I134" s="1"/>
    </row>
    <row r="135" spans="1:9">
      <c r="A135" s="14" t="s">
        <v>840</v>
      </c>
      <c r="B135" s="14" t="s">
        <v>518</v>
      </c>
      <c r="C135" s="1" t="s">
        <v>1654</v>
      </c>
      <c r="D135" s="13">
        <v>3553</v>
      </c>
      <c r="F135" s="14" t="s">
        <v>2329</v>
      </c>
      <c r="G135" s="1"/>
      <c r="I135" s="1"/>
    </row>
    <row r="136" spans="1:9">
      <c r="A136" s="14" t="s">
        <v>841</v>
      </c>
      <c r="B136" s="14" t="s">
        <v>519</v>
      </c>
      <c r="C136" s="1" t="s">
        <v>1655</v>
      </c>
      <c r="D136" s="13">
        <v>3140</v>
      </c>
      <c r="F136" s="14" t="s">
        <v>2329</v>
      </c>
      <c r="G136" s="1"/>
      <c r="I136" s="1"/>
    </row>
    <row r="137" spans="1:9">
      <c r="A137" s="14" t="s">
        <v>878</v>
      </c>
      <c r="B137" s="14" t="s">
        <v>520</v>
      </c>
      <c r="C137" s="1" t="s">
        <v>1656</v>
      </c>
      <c r="D137" s="13">
        <v>2772</v>
      </c>
      <c r="F137" s="14" t="s">
        <v>2329</v>
      </c>
      <c r="G137" s="1"/>
      <c r="I137" s="1"/>
    </row>
    <row r="138" spans="1:9">
      <c r="A138" s="14" t="s">
        <v>879</v>
      </c>
      <c r="B138" s="14" t="s">
        <v>521</v>
      </c>
      <c r="C138" s="1" t="s">
        <v>1657</v>
      </c>
      <c r="D138" s="13">
        <v>2478</v>
      </c>
      <c r="F138" s="14" t="s">
        <v>2329</v>
      </c>
      <c r="G138" s="1"/>
      <c r="I138" s="1"/>
    </row>
    <row r="139" spans="1:9">
      <c r="A139" s="14" t="s">
        <v>880</v>
      </c>
      <c r="B139" s="14" t="s">
        <v>522</v>
      </c>
      <c r="C139" s="1" t="s">
        <v>1658</v>
      </c>
      <c r="D139" s="13">
        <v>1287</v>
      </c>
      <c r="F139" s="14" t="s">
        <v>2329</v>
      </c>
      <c r="G139" s="1"/>
      <c r="I139" s="1"/>
    </row>
    <row r="140" spans="1:9">
      <c r="A140" s="14" t="s">
        <v>721</v>
      </c>
      <c r="B140" s="14" t="s">
        <v>523</v>
      </c>
      <c r="C140" s="1" t="s">
        <v>1659</v>
      </c>
      <c r="D140" s="13">
        <v>2910</v>
      </c>
      <c r="F140" s="14" t="s">
        <v>2329</v>
      </c>
      <c r="G140" s="1"/>
      <c r="I140" s="1"/>
    </row>
    <row r="141" spans="1:9">
      <c r="A141" s="14" t="s">
        <v>722</v>
      </c>
      <c r="B141" s="14" t="s">
        <v>524</v>
      </c>
      <c r="C141" s="1" t="s">
        <v>1660</v>
      </c>
      <c r="D141" s="13">
        <v>1449</v>
      </c>
      <c r="F141" s="14" t="s">
        <v>2329</v>
      </c>
      <c r="G141" s="1"/>
      <c r="I141" s="1"/>
    </row>
    <row r="142" spans="1:9">
      <c r="A142" s="14" t="s">
        <v>723</v>
      </c>
      <c r="B142" s="14" t="s">
        <v>525</v>
      </c>
      <c r="C142" s="1" t="s">
        <v>1661</v>
      </c>
      <c r="D142" s="13">
        <v>1389</v>
      </c>
      <c r="F142" s="14" t="s">
        <v>2329</v>
      </c>
      <c r="G142" s="1"/>
      <c r="I142" s="1"/>
    </row>
    <row r="143" spans="1:9">
      <c r="A143" s="14" t="s">
        <v>733</v>
      </c>
      <c r="B143" s="14" t="s">
        <v>109</v>
      </c>
      <c r="C143" s="1" t="s">
        <v>1662</v>
      </c>
      <c r="D143" s="13">
        <v>4154</v>
      </c>
      <c r="F143" s="14" t="s">
        <v>2329</v>
      </c>
      <c r="G143" s="1"/>
      <c r="I143" s="1"/>
    </row>
    <row r="144" spans="1:9">
      <c r="D144" s="99"/>
    </row>
    <row r="145" spans="1:9">
      <c r="A145" s="14" t="s">
        <v>2330</v>
      </c>
      <c r="D145" s="97">
        <f>SUM(D117:D143)</f>
        <v>65175</v>
      </c>
    </row>
    <row r="147" spans="1:9">
      <c r="A147" s="14" t="s">
        <v>110</v>
      </c>
    </row>
    <row r="148" spans="1:9">
      <c r="A148" s="14"/>
    </row>
    <row r="149" spans="1:9">
      <c r="A149" s="14"/>
    </row>
    <row r="150" spans="1:9">
      <c r="D150" s="10" t="s">
        <v>285</v>
      </c>
      <c r="E150" s="16"/>
      <c r="F150" s="17" t="s">
        <v>1842</v>
      </c>
    </row>
    <row r="151" spans="1:9">
      <c r="D151" s="15">
        <v>2016</v>
      </c>
      <c r="E151" s="16"/>
      <c r="F151" s="18" t="s">
        <v>286</v>
      </c>
    </row>
    <row r="152" spans="1:9">
      <c r="A152" s="14" t="s">
        <v>111</v>
      </c>
      <c r="D152" s="97">
        <f>SUM(D153:D167)</f>
        <v>86427</v>
      </c>
    </row>
    <row r="153" spans="1:9">
      <c r="A153" s="14" t="s">
        <v>812</v>
      </c>
      <c r="B153" s="14" t="s">
        <v>998</v>
      </c>
      <c r="C153" s="1" t="s">
        <v>1663</v>
      </c>
      <c r="D153" s="7">
        <v>7099</v>
      </c>
      <c r="F153" s="14" t="s">
        <v>712</v>
      </c>
      <c r="G153" s="1"/>
      <c r="I153" s="1"/>
    </row>
    <row r="154" spans="1:9">
      <c r="A154" s="14" t="s">
        <v>813</v>
      </c>
      <c r="B154" s="14" t="s">
        <v>112</v>
      </c>
      <c r="C154" s="1" t="s">
        <v>1664</v>
      </c>
      <c r="D154" s="7">
        <v>7169</v>
      </c>
      <c r="F154" s="14" t="s">
        <v>712</v>
      </c>
      <c r="G154" s="1"/>
      <c r="I154" s="1"/>
    </row>
    <row r="155" spans="1:9">
      <c r="A155" s="14" t="s">
        <v>814</v>
      </c>
      <c r="B155" s="14" t="s">
        <v>533</v>
      </c>
      <c r="C155" s="1" t="s">
        <v>1665</v>
      </c>
      <c r="D155" s="7">
        <v>6204</v>
      </c>
      <c r="F155" s="14" t="s">
        <v>712</v>
      </c>
      <c r="G155" s="1"/>
      <c r="I155" s="1"/>
    </row>
    <row r="156" spans="1:9">
      <c r="A156" s="14" t="s">
        <v>815</v>
      </c>
      <c r="B156" s="14" t="s">
        <v>394</v>
      </c>
      <c r="C156" s="1" t="s">
        <v>1666</v>
      </c>
      <c r="D156" s="7">
        <v>4355</v>
      </c>
      <c r="F156" s="14" t="s">
        <v>712</v>
      </c>
      <c r="G156" s="1"/>
      <c r="I156" s="1"/>
    </row>
    <row r="157" spans="1:9">
      <c r="A157" s="14" t="s">
        <v>816</v>
      </c>
      <c r="B157" s="14" t="s">
        <v>1009</v>
      </c>
      <c r="C157" s="1" t="s">
        <v>1667</v>
      </c>
      <c r="D157" s="7">
        <v>4353</v>
      </c>
      <c r="F157" s="14" t="s">
        <v>712</v>
      </c>
      <c r="G157" s="1"/>
      <c r="I157" s="1"/>
    </row>
    <row r="158" spans="1:9">
      <c r="A158" s="14" t="s">
        <v>826</v>
      </c>
      <c r="B158" s="14" t="s">
        <v>534</v>
      </c>
      <c r="C158" s="1" t="s">
        <v>1668</v>
      </c>
      <c r="D158" s="7">
        <v>6832</v>
      </c>
      <c r="F158" s="14" t="s">
        <v>712</v>
      </c>
      <c r="G158" s="1"/>
      <c r="I158" s="1"/>
    </row>
    <row r="159" spans="1:9">
      <c r="A159" s="14" t="s">
        <v>827</v>
      </c>
      <c r="B159" s="14" t="s">
        <v>535</v>
      </c>
      <c r="C159" s="1" t="s">
        <v>1669</v>
      </c>
      <c r="D159" s="7">
        <v>4779</v>
      </c>
      <c r="F159" s="14" t="s">
        <v>712</v>
      </c>
      <c r="G159" s="1"/>
      <c r="I159" s="1"/>
    </row>
    <row r="160" spans="1:9">
      <c r="A160" s="14" t="s">
        <v>828</v>
      </c>
      <c r="B160" s="14" t="s">
        <v>536</v>
      </c>
      <c r="C160" s="1" t="s">
        <v>1670</v>
      </c>
      <c r="D160" s="7">
        <v>7298</v>
      </c>
      <c r="F160" s="14" t="s">
        <v>712</v>
      </c>
      <c r="G160" s="1"/>
      <c r="I160" s="1"/>
    </row>
    <row r="161" spans="1:9">
      <c r="A161" s="14" t="s">
        <v>829</v>
      </c>
      <c r="B161" s="14" t="s">
        <v>537</v>
      </c>
      <c r="C161" s="1" t="s">
        <v>1671</v>
      </c>
      <c r="D161" s="7">
        <v>7195</v>
      </c>
      <c r="F161" s="14" t="s">
        <v>712</v>
      </c>
      <c r="G161" s="1"/>
      <c r="I161" s="1"/>
    </row>
    <row r="162" spans="1:9">
      <c r="A162" s="14" t="s">
        <v>830</v>
      </c>
      <c r="B162" s="14" t="s">
        <v>538</v>
      </c>
      <c r="C162" s="1" t="s">
        <v>1672</v>
      </c>
      <c r="D162" s="7">
        <v>6685</v>
      </c>
      <c r="F162" s="14" t="s">
        <v>712</v>
      </c>
      <c r="G162" s="1"/>
      <c r="I162" s="1"/>
    </row>
    <row r="163" spans="1:9">
      <c r="A163" s="14" t="s">
        <v>831</v>
      </c>
      <c r="B163" s="14" t="s">
        <v>539</v>
      </c>
      <c r="C163" s="1" t="s">
        <v>1673</v>
      </c>
      <c r="D163" s="7">
        <v>2118</v>
      </c>
      <c r="F163" s="14" t="s">
        <v>712</v>
      </c>
      <c r="G163" s="1"/>
      <c r="I163" s="1"/>
    </row>
    <row r="164" spans="1:9">
      <c r="A164" s="14" t="s">
        <v>832</v>
      </c>
      <c r="B164" s="14" t="s">
        <v>540</v>
      </c>
      <c r="C164" s="1" t="s">
        <v>1674</v>
      </c>
      <c r="D164" s="7">
        <v>7936</v>
      </c>
      <c r="F164" s="14" t="s">
        <v>714</v>
      </c>
      <c r="G164" s="1"/>
      <c r="I164" s="1"/>
    </row>
    <row r="165" spans="1:9">
      <c r="A165" s="102">
        <v>13</v>
      </c>
      <c r="B165" s="14" t="s">
        <v>541</v>
      </c>
      <c r="C165" s="1" t="s">
        <v>1675</v>
      </c>
      <c r="D165" s="7">
        <v>5123</v>
      </c>
      <c r="F165" s="14" t="s">
        <v>714</v>
      </c>
      <c r="G165" s="1"/>
      <c r="I165" s="1"/>
    </row>
    <row r="166" spans="1:9">
      <c r="A166" s="102">
        <v>14</v>
      </c>
      <c r="B166" s="14" t="s">
        <v>542</v>
      </c>
      <c r="C166" s="1" t="s">
        <v>1676</v>
      </c>
      <c r="D166" s="7">
        <v>4429</v>
      </c>
      <c r="F166" s="14" t="s">
        <v>712</v>
      </c>
      <c r="G166" s="1"/>
      <c r="I166" s="1"/>
    </row>
    <row r="167" spans="1:9">
      <c r="A167" s="102">
        <v>15</v>
      </c>
      <c r="B167" s="95" t="s">
        <v>543</v>
      </c>
      <c r="C167" s="1" t="s">
        <v>1677</v>
      </c>
      <c r="D167" s="7">
        <v>4852</v>
      </c>
      <c r="F167" s="14" t="s">
        <v>712</v>
      </c>
      <c r="G167" s="1"/>
      <c r="I167" s="1"/>
    </row>
    <row r="169" spans="1:9">
      <c r="A169" s="14" t="s">
        <v>712</v>
      </c>
      <c r="D169" s="97">
        <f>SUM(D153:D163)+D166+D167</f>
        <v>73368</v>
      </c>
    </row>
    <row r="170" spans="1:9">
      <c r="A170" s="14" t="s">
        <v>2331</v>
      </c>
      <c r="D170" s="97">
        <f>D164+D165</f>
        <v>13059</v>
      </c>
    </row>
    <row r="171" spans="1:9">
      <c r="A171" s="14"/>
      <c r="B171" s="14"/>
      <c r="D171" s="104"/>
    </row>
    <row r="172" spans="1:9">
      <c r="A172" s="14" t="s">
        <v>737</v>
      </c>
      <c r="B172" s="14"/>
      <c r="D172" s="104"/>
    </row>
    <row r="173" spans="1:9">
      <c r="A173" s="14"/>
      <c r="B173" s="14"/>
      <c r="D173" s="104"/>
    </row>
    <row r="174" spans="1:9">
      <c r="A174" s="14"/>
      <c r="B174" s="14"/>
      <c r="D174" s="104"/>
    </row>
    <row r="175" spans="1:9">
      <c r="D175" s="10" t="s">
        <v>285</v>
      </c>
      <c r="E175" s="16"/>
      <c r="F175" s="17" t="s">
        <v>1842</v>
      </c>
    </row>
    <row r="176" spans="1:9">
      <c r="D176" s="15">
        <v>2016</v>
      </c>
      <c r="E176" s="16"/>
      <c r="F176" s="18" t="s">
        <v>286</v>
      </c>
    </row>
    <row r="177" spans="1:9">
      <c r="A177" s="14" t="s">
        <v>738</v>
      </c>
      <c r="D177" s="97">
        <f>SUM(D178:D192)+SUM(D193:D207)</f>
        <v>91294</v>
      </c>
    </row>
    <row r="178" spans="1:9">
      <c r="A178" s="14" t="s">
        <v>812</v>
      </c>
      <c r="B178" s="14" t="s">
        <v>739</v>
      </c>
      <c r="C178" s="1" t="s">
        <v>1678</v>
      </c>
      <c r="D178" s="7">
        <v>1714</v>
      </c>
      <c r="F178" s="14" t="s">
        <v>714</v>
      </c>
      <c r="G178" s="19"/>
      <c r="I178" s="1"/>
    </row>
    <row r="179" spans="1:9">
      <c r="A179" s="14" t="s">
        <v>813</v>
      </c>
      <c r="B179" s="14" t="s">
        <v>527</v>
      </c>
      <c r="C179" s="1" t="s">
        <v>1679</v>
      </c>
      <c r="D179" s="7">
        <v>3454</v>
      </c>
      <c r="F179" s="14" t="s">
        <v>2327</v>
      </c>
      <c r="G179" s="19"/>
      <c r="I179" s="1"/>
    </row>
    <row r="180" spans="1:9">
      <c r="A180" s="14" t="s">
        <v>814</v>
      </c>
      <c r="B180" s="14" t="s">
        <v>528</v>
      </c>
      <c r="C180" s="1" t="s">
        <v>1680</v>
      </c>
      <c r="D180" s="7">
        <v>1841</v>
      </c>
      <c r="F180" s="14" t="s">
        <v>714</v>
      </c>
      <c r="G180" s="19"/>
      <c r="I180" s="1"/>
    </row>
    <row r="181" spans="1:9">
      <c r="A181" s="14" t="s">
        <v>815</v>
      </c>
      <c r="B181" s="14" t="s">
        <v>113</v>
      </c>
      <c r="C181" s="1" t="s">
        <v>1681</v>
      </c>
      <c r="D181" s="7">
        <v>5798</v>
      </c>
      <c r="F181" s="14" t="s">
        <v>714</v>
      </c>
      <c r="G181" s="19"/>
      <c r="I181" s="1"/>
    </row>
    <row r="182" spans="1:9">
      <c r="A182" s="14" t="s">
        <v>816</v>
      </c>
      <c r="B182" s="14" t="s">
        <v>309</v>
      </c>
      <c r="C182" s="1" t="s">
        <v>1682</v>
      </c>
      <c r="D182" s="7">
        <v>3465</v>
      </c>
      <c r="F182" s="14" t="s">
        <v>2327</v>
      </c>
      <c r="G182" s="19"/>
      <c r="I182" s="1"/>
    </row>
    <row r="183" spans="1:9">
      <c r="A183" s="14" t="s">
        <v>826</v>
      </c>
      <c r="B183" s="14" t="s">
        <v>310</v>
      </c>
      <c r="C183" s="1" t="s">
        <v>1683</v>
      </c>
      <c r="D183" s="7">
        <v>3261</v>
      </c>
      <c r="F183" s="14" t="s">
        <v>2327</v>
      </c>
      <c r="G183" s="19"/>
      <c r="I183" s="1"/>
    </row>
    <row r="184" spans="1:9">
      <c r="A184" s="14" t="s">
        <v>827</v>
      </c>
      <c r="B184" s="14" t="s">
        <v>888</v>
      </c>
      <c r="C184" s="1" t="s">
        <v>1684</v>
      </c>
      <c r="D184" s="7">
        <v>1722</v>
      </c>
      <c r="F184" s="14" t="s">
        <v>714</v>
      </c>
      <c r="G184" s="19"/>
      <c r="I184" s="1"/>
    </row>
    <row r="185" spans="1:9">
      <c r="A185" s="14" t="s">
        <v>828</v>
      </c>
      <c r="B185" s="14" t="s">
        <v>311</v>
      </c>
      <c r="C185" s="1" t="s">
        <v>1685</v>
      </c>
      <c r="D185" s="7">
        <v>5096</v>
      </c>
      <c r="F185" s="14" t="s">
        <v>714</v>
      </c>
      <c r="G185" s="19"/>
      <c r="I185" s="1"/>
    </row>
    <row r="186" spans="1:9">
      <c r="A186" s="14" t="s">
        <v>829</v>
      </c>
      <c r="B186" s="14" t="s">
        <v>312</v>
      </c>
      <c r="C186" s="1" t="s">
        <v>1686</v>
      </c>
      <c r="D186" s="7">
        <v>1935</v>
      </c>
      <c r="F186" s="14" t="s">
        <v>714</v>
      </c>
      <c r="G186" s="19"/>
      <c r="I186" s="1"/>
    </row>
    <row r="187" spans="1:9">
      <c r="A187" s="14" t="s">
        <v>830</v>
      </c>
      <c r="B187" s="14" t="s">
        <v>313</v>
      </c>
      <c r="C187" s="1" t="s">
        <v>1687</v>
      </c>
      <c r="D187" s="7">
        <v>5128</v>
      </c>
      <c r="F187" s="14" t="s">
        <v>2327</v>
      </c>
      <c r="G187" s="19"/>
      <c r="I187" s="1"/>
    </row>
    <row r="188" spans="1:9">
      <c r="A188" s="14" t="s">
        <v>831</v>
      </c>
      <c r="B188" s="14" t="s">
        <v>314</v>
      </c>
      <c r="C188" s="1" t="s">
        <v>1688</v>
      </c>
      <c r="D188" s="7">
        <v>1499</v>
      </c>
      <c r="F188" s="14" t="s">
        <v>714</v>
      </c>
      <c r="G188" s="19"/>
      <c r="I188" s="1"/>
    </row>
    <row r="189" spans="1:9">
      <c r="A189" s="14" t="s">
        <v>832</v>
      </c>
      <c r="B189" s="14" t="s">
        <v>315</v>
      </c>
      <c r="C189" s="1" t="s">
        <v>1689</v>
      </c>
      <c r="D189" s="7">
        <v>1647</v>
      </c>
      <c r="F189" s="14" t="s">
        <v>714</v>
      </c>
      <c r="G189" s="19"/>
      <c r="I189" s="1"/>
    </row>
    <row r="190" spans="1:9">
      <c r="A190" s="14" t="s">
        <v>833</v>
      </c>
      <c r="B190" s="14" t="s">
        <v>906</v>
      </c>
      <c r="C190" s="1" t="s">
        <v>1690</v>
      </c>
      <c r="D190" s="7">
        <v>4408</v>
      </c>
      <c r="F190" s="14" t="s">
        <v>714</v>
      </c>
      <c r="G190" s="19"/>
      <c r="I190" s="1"/>
    </row>
    <row r="191" spans="1:9">
      <c r="A191" s="14" t="s">
        <v>834</v>
      </c>
      <c r="B191" s="14" t="s">
        <v>907</v>
      </c>
      <c r="C191" s="1" t="s">
        <v>1691</v>
      </c>
      <c r="D191" s="8">
        <v>1662</v>
      </c>
      <c r="F191" s="106" t="s">
        <v>2327</v>
      </c>
      <c r="G191" s="20"/>
      <c r="I191" s="1"/>
    </row>
    <row r="192" spans="1:9">
      <c r="A192" s="14" t="s">
        <v>835</v>
      </c>
      <c r="B192" s="14" t="s">
        <v>908</v>
      </c>
      <c r="C192" s="1" t="s">
        <v>1692</v>
      </c>
      <c r="D192" s="8">
        <v>3624</v>
      </c>
      <c r="F192" s="14" t="s">
        <v>717</v>
      </c>
      <c r="I192" s="1"/>
    </row>
    <row r="193" spans="1:9">
      <c r="A193" s="14" t="s">
        <v>836</v>
      </c>
      <c r="B193" s="14" t="s">
        <v>909</v>
      </c>
      <c r="C193" s="1" t="s">
        <v>1693</v>
      </c>
      <c r="D193" s="7">
        <v>5245</v>
      </c>
      <c r="F193" s="14" t="s">
        <v>717</v>
      </c>
      <c r="G193" s="19"/>
      <c r="I193" s="1"/>
    </row>
    <row r="194" spans="1:9">
      <c r="A194" s="14" t="s">
        <v>837</v>
      </c>
      <c r="B194" s="14" t="s">
        <v>0</v>
      </c>
      <c r="C194" s="1" t="s">
        <v>1694</v>
      </c>
      <c r="D194" s="8">
        <v>3688</v>
      </c>
      <c r="F194" s="14" t="s">
        <v>714</v>
      </c>
      <c r="G194" s="19"/>
      <c r="I194" s="1"/>
    </row>
    <row r="195" spans="1:9">
      <c r="A195" s="14" t="s">
        <v>838</v>
      </c>
      <c r="B195" s="14" t="s">
        <v>910</v>
      </c>
      <c r="C195" s="1" t="s">
        <v>1695</v>
      </c>
      <c r="D195" s="8">
        <v>1487</v>
      </c>
      <c r="F195" s="14" t="s">
        <v>714</v>
      </c>
      <c r="G195" s="20"/>
      <c r="I195" s="1"/>
    </row>
    <row r="196" spans="1:9">
      <c r="A196" s="14" t="s">
        <v>840</v>
      </c>
      <c r="B196" s="14" t="s">
        <v>911</v>
      </c>
      <c r="C196" s="1" t="s">
        <v>1696</v>
      </c>
      <c r="D196" s="8">
        <v>3566</v>
      </c>
      <c r="F196" s="14" t="s">
        <v>714</v>
      </c>
      <c r="G196" s="20"/>
      <c r="I196" s="1"/>
    </row>
    <row r="197" spans="1:9">
      <c r="A197" s="14" t="s">
        <v>841</v>
      </c>
      <c r="B197" s="14" t="s">
        <v>912</v>
      </c>
      <c r="C197" s="1" t="s">
        <v>1697</v>
      </c>
      <c r="D197" s="8">
        <v>3801</v>
      </c>
      <c r="F197" s="14" t="s">
        <v>714</v>
      </c>
      <c r="G197" s="20"/>
      <c r="I197" s="1"/>
    </row>
    <row r="198" spans="1:9">
      <c r="A198" s="14" t="s">
        <v>878</v>
      </c>
      <c r="B198" s="14" t="s">
        <v>913</v>
      </c>
      <c r="C198" s="1" t="s">
        <v>1698</v>
      </c>
      <c r="D198" s="8">
        <v>1546</v>
      </c>
      <c r="F198" s="14" t="s">
        <v>714</v>
      </c>
      <c r="G198" s="20"/>
      <c r="I198" s="1"/>
    </row>
    <row r="199" spans="1:9">
      <c r="A199" s="14" t="s">
        <v>879</v>
      </c>
      <c r="B199" s="14" t="s">
        <v>914</v>
      </c>
      <c r="C199" s="1" t="s">
        <v>1699</v>
      </c>
      <c r="D199" s="8">
        <v>6082</v>
      </c>
      <c r="F199" s="14" t="s">
        <v>714</v>
      </c>
      <c r="G199" s="20"/>
      <c r="I199" s="1"/>
    </row>
    <row r="200" spans="1:9">
      <c r="A200" s="14" t="s">
        <v>880</v>
      </c>
      <c r="B200" s="14" t="s">
        <v>915</v>
      </c>
      <c r="C200" s="1" t="s">
        <v>1700</v>
      </c>
      <c r="D200" s="8">
        <v>3361</v>
      </c>
      <c r="F200" s="14" t="s">
        <v>714</v>
      </c>
      <c r="G200" s="20"/>
      <c r="I200" s="1"/>
    </row>
    <row r="201" spans="1:9">
      <c r="A201" s="14" t="s">
        <v>721</v>
      </c>
      <c r="B201" s="14" t="s">
        <v>916</v>
      </c>
      <c r="C201" s="1" t="s">
        <v>1701</v>
      </c>
      <c r="D201" s="8">
        <v>1878</v>
      </c>
      <c r="F201" s="14" t="s">
        <v>714</v>
      </c>
      <c r="G201" s="20"/>
      <c r="I201" s="1"/>
    </row>
    <row r="202" spans="1:9">
      <c r="A202" s="14" t="s">
        <v>722</v>
      </c>
      <c r="B202" s="14" t="s">
        <v>679</v>
      </c>
      <c r="C202" s="1" t="s">
        <v>1702</v>
      </c>
      <c r="D202" s="8">
        <v>1701</v>
      </c>
      <c r="F202" s="14" t="s">
        <v>714</v>
      </c>
      <c r="G202" s="20"/>
      <c r="I202" s="1"/>
    </row>
    <row r="203" spans="1:9">
      <c r="A203" s="14" t="s">
        <v>723</v>
      </c>
      <c r="B203" s="14" t="s">
        <v>917</v>
      </c>
      <c r="C203" s="1" t="s">
        <v>1703</v>
      </c>
      <c r="D203" s="8">
        <v>1661</v>
      </c>
      <c r="F203" s="14" t="s">
        <v>714</v>
      </c>
      <c r="G203" s="20"/>
      <c r="I203" s="1"/>
    </row>
    <row r="204" spans="1:9">
      <c r="A204" s="14" t="s">
        <v>733</v>
      </c>
      <c r="B204" s="14" t="s">
        <v>918</v>
      </c>
      <c r="C204" s="1" t="s">
        <v>1704</v>
      </c>
      <c r="D204" s="8">
        <v>2411</v>
      </c>
      <c r="F204" s="14" t="s">
        <v>714</v>
      </c>
      <c r="G204" s="20"/>
      <c r="I204" s="1"/>
    </row>
    <row r="205" spans="1:9">
      <c r="A205" s="14" t="s">
        <v>734</v>
      </c>
      <c r="B205" s="14" t="s">
        <v>1006</v>
      </c>
      <c r="C205" s="1" t="s">
        <v>1705</v>
      </c>
      <c r="D205" s="8">
        <v>1562</v>
      </c>
      <c r="F205" s="14" t="s">
        <v>2327</v>
      </c>
      <c r="G205" s="20"/>
      <c r="I205" s="1"/>
    </row>
    <row r="206" spans="1:9">
      <c r="A206" s="14" t="s">
        <v>735</v>
      </c>
      <c r="B206" s="14" t="s">
        <v>919</v>
      </c>
      <c r="C206" s="1" t="s">
        <v>1706</v>
      </c>
      <c r="D206" s="8">
        <v>1942</v>
      </c>
      <c r="F206" s="14" t="s">
        <v>714</v>
      </c>
      <c r="G206" s="20"/>
      <c r="I206" s="1"/>
    </row>
    <row r="207" spans="1:9">
      <c r="A207" s="14" t="s">
        <v>736</v>
      </c>
      <c r="B207" s="14" t="s">
        <v>920</v>
      </c>
      <c r="C207" s="1" t="s">
        <v>1707</v>
      </c>
      <c r="D207" s="8">
        <v>5109</v>
      </c>
      <c r="F207" s="106" t="s">
        <v>2327</v>
      </c>
      <c r="G207" s="20"/>
      <c r="I207" s="1"/>
    </row>
    <row r="208" spans="1:9">
      <c r="D208" s="99"/>
    </row>
    <row r="209" spans="1:9">
      <c r="A209" s="106" t="s">
        <v>2328</v>
      </c>
      <c r="D209" s="99">
        <f>D179+D182+D183+D187+D191+D205+D207</f>
        <v>23641</v>
      </c>
    </row>
    <row r="210" spans="1:9">
      <c r="A210" s="14" t="s">
        <v>2331</v>
      </c>
      <c r="D210" s="97">
        <f>D178+D180+D181+SUM(D184:D186)+SUM(D188:D190)+SUM(D194:D204)+D206</f>
        <v>58784</v>
      </c>
    </row>
    <row r="211" spans="1:9">
      <c r="A211" s="14" t="s">
        <v>307</v>
      </c>
      <c r="D211" s="97">
        <f>D192+D193</f>
        <v>8869</v>
      </c>
    </row>
    <row r="212" spans="1:9">
      <c r="A212" s="14"/>
      <c r="D212" s="97"/>
    </row>
    <row r="213" spans="1:9">
      <c r="A213" s="14" t="s">
        <v>526</v>
      </c>
      <c r="D213" s="97"/>
    </row>
    <row r="214" spans="1:9">
      <c r="A214" s="14" t="s">
        <v>530</v>
      </c>
      <c r="B214" s="14"/>
      <c r="D214" s="104"/>
    </row>
    <row r="215" spans="1:9">
      <c r="A215" s="14"/>
      <c r="B215" s="14"/>
      <c r="D215" s="104"/>
    </row>
    <row r="216" spans="1:9">
      <c r="A216" s="14"/>
      <c r="B216" s="14"/>
      <c r="D216" s="104"/>
    </row>
    <row r="217" spans="1:9">
      <c r="D217" s="10" t="s">
        <v>285</v>
      </c>
      <c r="E217" s="16"/>
      <c r="F217" s="17" t="s">
        <v>1842</v>
      </c>
    </row>
    <row r="218" spans="1:9">
      <c r="D218" s="15">
        <v>2016</v>
      </c>
      <c r="E218" s="16"/>
      <c r="F218" s="18" t="s">
        <v>286</v>
      </c>
    </row>
    <row r="219" spans="1:9">
      <c r="A219" s="14" t="s">
        <v>531</v>
      </c>
      <c r="D219" s="97">
        <f>SUM(D220:D241)</f>
        <v>65989</v>
      </c>
    </row>
    <row r="220" spans="1:9">
      <c r="A220" s="14" t="s">
        <v>812</v>
      </c>
      <c r="B220" s="14" t="s">
        <v>921</v>
      </c>
      <c r="C220" s="1" t="s">
        <v>1708</v>
      </c>
      <c r="D220" s="7">
        <v>3222</v>
      </c>
      <c r="F220" s="14" t="s">
        <v>716</v>
      </c>
      <c r="G220" s="1"/>
      <c r="I220" s="1"/>
    </row>
    <row r="221" spans="1:9">
      <c r="A221" s="14" t="s">
        <v>813</v>
      </c>
      <c r="B221" s="14" t="s">
        <v>922</v>
      </c>
      <c r="C221" s="1" t="s">
        <v>1792</v>
      </c>
      <c r="D221" s="7">
        <v>2224</v>
      </c>
      <c r="F221" s="14" t="s">
        <v>716</v>
      </c>
      <c r="G221" s="1"/>
      <c r="I221" s="1"/>
    </row>
    <row r="222" spans="1:9">
      <c r="A222" s="14" t="s">
        <v>814</v>
      </c>
      <c r="B222" s="14" t="s">
        <v>923</v>
      </c>
      <c r="C222" s="1" t="s">
        <v>1793</v>
      </c>
      <c r="D222" s="7">
        <v>5907</v>
      </c>
      <c r="F222" s="14" t="s">
        <v>716</v>
      </c>
      <c r="G222" s="1"/>
      <c r="I222" s="1"/>
    </row>
    <row r="223" spans="1:9">
      <c r="A223" s="14" t="s">
        <v>815</v>
      </c>
      <c r="B223" s="14" t="s">
        <v>924</v>
      </c>
      <c r="C223" s="1" t="s">
        <v>1794</v>
      </c>
      <c r="D223" s="7">
        <v>3377</v>
      </c>
      <c r="F223" s="14" t="s">
        <v>716</v>
      </c>
      <c r="G223" s="1"/>
      <c r="I223" s="1"/>
    </row>
    <row r="224" spans="1:9">
      <c r="A224" s="14" t="s">
        <v>816</v>
      </c>
      <c r="B224" s="14" t="s">
        <v>925</v>
      </c>
      <c r="C224" s="1" t="s">
        <v>1709</v>
      </c>
      <c r="D224" s="7">
        <v>5154</v>
      </c>
      <c r="F224" s="14" t="s">
        <v>716</v>
      </c>
      <c r="G224" s="1"/>
      <c r="I224" s="1"/>
    </row>
    <row r="225" spans="1:9">
      <c r="A225" s="14" t="s">
        <v>826</v>
      </c>
      <c r="B225" s="14" t="s">
        <v>926</v>
      </c>
      <c r="C225" s="1" t="s">
        <v>1795</v>
      </c>
      <c r="D225" s="7">
        <v>1536</v>
      </c>
      <c r="F225" s="14" t="s">
        <v>716</v>
      </c>
      <c r="G225" s="1"/>
      <c r="I225" s="1"/>
    </row>
    <row r="226" spans="1:9">
      <c r="A226" s="14" t="s">
        <v>827</v>
      </c>
      <c r="B226" s="14" t="s">
        <v>927</v>
      </c>
      <c r="C226" s="1" t="s">
        <v>1796</v>
      </c>
      <c r="D226" s="7">
        <v>3220</v>
      </c>
      <c r="F226" s="14" t="s">
        <v>716</v>
      </c>
      <c r="G226" s="1"/>
      <c r="I226" s="1"/>
    </row>
    <row r="227" spans="1:9">
      <c r="A227" s="14" t="s">
        <v>828</v>
      </c>
      <c r="B227" s="14" t="s">
        <v>1011</v>
      </c>
      <c r="C227" s="1" t="s">
        <v>1797</v>
      </c>
      <c r="D227" s="7">
        <v>3846</v>
      </c>
      <c r="F227" s="14" t="s">
        <v>716</v>
      </c>
      <c r="G227" s="1"/>
      <c r="I227" s="1"/>
    </row>
    <row r="228" spans="1:9">
      <c r="A228" s="14" t="s">
        <v>829</v>
      </c>
      <c r="B228" s="14" t="s">
        <v>1012</v>
      </c>
      <c r="C228" s="1" t="s">
        <v>1710</v>
      </c>
      <c r="D228" s="7">
        <v>3266</v>
      </c>
      <c r="F228" s="14" t="s">
        <v>716</v>
      </c>
      <c r="G228" s="1"/>
      <c r="I228" s="1"/>
    </row>
    <row r="229" spans="1:9">
      <c r="A229" s="14" t="s">
        <v>830</v>
      </c>
      <c r="B229" s="14" t="s">
        <v>1013</v>
      </c>
      <c r="C229" s="1" t="s">
        <v>1798</v>
      </c>
      <c r="D229" s="7">
        <v>3764</v>
      </c>
      <c r="F229" s="14" t="s">
        <v>2329</v>
      </c>
      <c r="G229" s="1"/>
      <c r="I229" s="1"/>
    </row>
    <row r="230" spans="1:9">
      <c r="A230" s="14" t="s">
        <v>831</v>
      </c>
      <c r="B230" s="14" t="s">
        <v>1014</v>
      </c>
      <c r="C230" s="1" t="s">
        <v>1711</v>
      </c>
      <c r="D230" s="7">
        <v>3415</v>
      </c>
      <c r="F230" s="14" t="s">
        <v>2329</v>
      </c>
      <c r="G230" s="1"/>
      <c r="I230" s="1"/>
    </row>
    <row r="231" spans="1:9">
      <c r="A231" s="14" t="s">
        <v>832</v>
      </c>
      <c r="B231" s="14" t="s">
        <v>534</v>
      </c>
      <c r="C231" s="1" t="s">
        <v>1799</v>
      </c>
      <c r="D231" s="7">
        <v>1777</v>
      </c>
      <c r="F231" s="14" t="s">
        <v>716</v>
      </c>
      <c r="G231" s="1"/>
      <c r="I231" s="1"/>
    </row>
    <row r="232" spans="1:9">
      <c r="A232" s="14" t="s">
        <v>833</v>
      </c>
      <c r="B232" s="14" t="s">
        <v>1015</v>
      </c>
      <c r="C232" s="1" t="s">
        <v>1712</v>
      </c>
      <c r="D232" s="7">
        <v>1801</v>
      </c>
      <c r="F232" s="14" t="s">
        <v>716</v>
      </c>
      <c r="G232" s="1"/>
      <c r="I232" s="1"/>
    </row>
    <row r="233" spans="1:9">
      <c r="A233" s="14" t="s">
        <v>834</v>
      </c>
      <c r="B233" s="14" t="s">
        <v>1016</v>
      </c>
      <c r="C233" s="1" t="s">
        <v>1800</v>
      </c>
      <c r="D233" s="7">
        <v>1662</v>
      </c>
      <c r="F233" s="14" t="s">
        <v>716</v>
      </c>
      <c r="G233" s="1"/>
      <c r="I233" s="1"/>
    </row>
    <row r="234" spans="1:9">
      <c r="A234" s="14" t="s">
        <v>835</v>
      </c>
      <c r="B234" s="14" t="s">
        <v>899</v>
      </c>
      <c r="C234" s="1" t="s">
        <v>1713</v>
      </c>
      <c r="D234" s="7">
        <v>3626</v>
      </c>
      <c r="F234" s="14" t="s">
        <v>716</v>
      </c>
      <c r="G234" s="1"/>
      <c r="I234" s="1"/>
    </row>
    <row r="235" spans="1:9">
      <c r="A235" s="14" t="s">
        <v>836</v>
      </c>
      <c r="B235" s="14" t="s">
        <v>900</v>
      </c>
      <c r="C235" s="1" t="s">
        <v>1801</v>
      </c>
      <c r="D235" s="8">
        <v>1531</v>
      </c>
      <c r="F235" s="14" t="s">
        <v>716</v>
      </c>
      <c r="G235" s="1"/>
      <c r="I235" s="1"/>
    </row>
    <row r="236" spans="1:9">
      <c r="A236" s="14" t="s">
        <v>837</v>
      </c>
      <c r="B236" s="14" t="s">
        <v>901</v>
      </c>
      <c r="C236" s="1" t="s">
        <v>1802</v>
      </c>
      <c r="D236" s="8">
        <v>1520</v>
      </c>
      <c r="F236" s="14" t="s">
        <v>716</v>
      </c>
      <c r="G236" s="1"/>
      <c r="I236" s="1"/>
    </row>
    <row r="237" spans="1:9">
      <c r="A237" s="14" t="s">
        <v>838</v>
      </c>
      <c r="B237" s="14" t="s">
        <v>902</v>
      </c>
      <c r="C237" s="1" t="s">
        <v>1714</v>
      </c>
      <c r="D237" s="8">
        <v>1585</v>
      </c>
      <c r="F237" s="14" t="s">
        <v>716</v>
      </c>
      <c r="G237" s="1"/>
      <c r="I237" s="1"/>
    </row>
    <row r="238" spans="1:9">
      <c r="A238" s="14" t="s">
        <v>840</v>
      </c>
      <c r="B238" s="14" t="s">
        <v>903</v>
      </c>
      <c r="C238" s="1" t="s">
        <v>1803</v>
      </c>
      <c r="D238" s="8">
        <v>2900</v>
      </c>
      <c r="F238" s="14" t="s">
        <v>716</v>
      </c>
      <c r="G238" s="1"/>
      <c r="I238" s="1"/>
    </row>
    <row r="239" spans="1:9">
      <c r="A239" s="14" t="s">
        <v>841</v>
      </c>
      <c r="B239" s="14" t="s">
        <v>904</v>
      </c>
      <c r="C239" s="1" t="s">
        <v>1715</v>
      </c>
      <c r="D239" s="8">
        <v>3701</v>
      </c>
      <c r="F239" s="14" t="s">
        <v>716</v>
      </c>
      <c r="G239" s="1"/>
      <c r="I239" s="1"/>
    </row>
    <row r="240" spans="1:9">
      <c r="A240" s="14" t="s">
        <v>878</v>
      </c>
      <c r="B240" s="14" t="s">
        <v>905</v>
      </c>
      <c r="C240" s="1" t="s">
        <v>1716</v>
      </c>
      <c r="D240" s="8">
        <v>1503</v>
      </c>
      <c r="F240" s="14" t="s">
        <v>716</v>
      </c>
      <c r="G240" s="1"/>
      <c r="I240" s="1"/>
    </row>
    <row r="241" spans="1:9">
      <c r="A241" s="14" t="s">
        <v>879</v>
      </c>
      <c r="B241" s="14" t="s">
        <v>529</v>
      </c>
      <c r="C241" s="1" t="s">
        <v>1804</v>
      </c>
      <c r="D241" s="8">
        <v>5452</v>
      </c>
      <c r="F241" s="14" t="s">
        <v>716</v>
      </c>
      <c r="G241" s="1"/>
      <c r="I241" s="1"/>
    </row>
    <row r="242" spans="1:9">
      <c r="D242" s="99"/>
    </row>
    <row r="243" spans="1:9">
      <c r="A243" s="14" t="s">
        <v>720</v>
      </c>
      <c r="D243" s="97">
        <f>SUM(D220:D228)+SUM(D231:D241)</f>
        <v>58810</v>
      </c>
    </row>
    <row r="244" spans="1:9">
      <c r="A244" s="14" t="s">
        <v>2330</v>
      </c>
      <c r="D244" s="97">
        <f>D229+D230</f>
        <v>7179</v>
      </c>
    </row>
    <row r="246" spans="1:9">
      <c r="A246" s="95" t="s">
        <v>1790</v>
      </c>
    </row>
    <row r="247" spans="1:9">
      <c r="A247" s="95" t="s">
        <v>1791</v>
      </c>
    </row>
  </sheetData>
  <phoneticPr fontId="5" type="noConversion"/>
  <printOptions gridLinesSet="0"/>
  <pageMargins left="0.78740157480314965" right="0" top="0.51181102362204722" bottom="0.51181102362204722" header="0.51181102362204722" footer="0.51181102362204722"/>
  <pageSetup paperSize="9" scale="73" orientation="portrait" horizontalDpi="300" verticalDpi="300" r:id="rId1"/>
  <headerFooter alignWithMargins="0">
    <oddFooter>&amp;C&amp;"Times New Roman,Regular"&amp;8&amp;P of &amp;N</oddFooter>
  </headerFooter>
  <ignoredErrors>
    <ignoredError sqref="D45 D177 D116 D145 D152 D219 D109 D75 D3:D13 D67:D68 D23:D24 D32:D36 D169:D170 D243:D244 D17:D19 D25:D26 D27:D30 D20:D22 D210:D211 D37 D39 D38 D40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23"/>
  <sheetViews>
    <sheetView showGridLines="0" zoomScaleNormal="100" workbookViewId="0"/>
  </sheetViews>
  <sheetFormatPr defaultColWidth="12.59765625" defaultRowHeight="14.5"/>
  <cols>
    <col min="1" max="1" width="4.8984375" style="711" customWidth="1"/>
    <col min="2" max="2" width="40.69921875" style="711" customWidth="1"/>
    <col min="3" max="3" width="11.59765625" style="711" customWidth="1"/>
    <col min="4" max="4" width="10.09765625" style="711" customWidth="1"/>
    <col min="5" max="5" width="2.296875" style="711" customWidth="1"/>
    <col min="6" max="6" width="32.796875" style="711" customWidth="1"/>
    <col min="7" max="16384" width="12.59765625" style="711"/>
  </cols>
  <sheetData>
    <row r="1" spans="1:6">
      <c r="A1" s="512" t="s">
        <v>1075</v>
      </c>
      <c r="D1" s="712">
        <v>2016</v>
      </c>
    </row>
    <row r="3" spans="1:6">
      <c r="A3" s="512" t="s">
        <v>11673</v>
      </c>
      <c r="D3" s="713">
        <f t="shared" ref="D3" si="0">SUM(D5:D14)</f>
        <v>1897229</v>
      </c>
    </row>
    <row r="4" spans="1:6">
      <c r="D4" s="714"/>
      <c r="F4" s="715"/>
    </row>
    <row r="5" spans="1:6">
      <c r="A5" s="512" t="s">
        <v>12340</v>
      </c>
      <c r="C5" s="512"/>
      <c r="D5" s="713">
        <f t="shared" ref="D5" si="1">D97</f>
        <v>188874</v>
      </c>
      <c r="F5" s="716"/>
    </row>
    <row r="6" spans="1:6">
      <c r="A6" s="512" t="s">
        <v>12341</v>
      </c>
      <c r="C6" s="512"/>
      <c r="D6" s="713">
        <f t="shared" ref="D6" si="2">D128</f>
        <v>134649</v>
      </c>
      <c r="F6" s="716"/>
    </row>
    <row r="7" spans="1:6">
      <c r="A7" s="512" t="s">
        <v>12342</v>
      </c>
      <c r="C7" s="512"/>
      <c r="D7" s="713">
        <f t="shared" ref="D7" si="3">D156</f>
        <v>345660</v>
      </c>
      <c r="F7" s="716"/>
    </row>
    <row r="8" spans="1:6">
      <c r="A8" s="512" t="s">
        <v>12343</v>
      </c>
      <c r="C8" s="512"/>
      <c r="D8" s="713">
        <f t="shared" ref="D8" si="4">D202</f>
        <v>153751</v>
      </c>
      <c r="F8" s="716"/>
    </row>
    <row r="9" spans="1:6">
      <c r="A9" s="512" t="s">
        <v>12344</v>
      </c>
      <c r="C9" s="512"/>
      <c r="D9" s="713">
        <f t="shared" ref="D9" si="5">D233</f>
        <v>148410</v>
      </c>
      <c r="F9" s="716"/>
    </row>
    <row r="10" spans="1:6">
      <c r="A10" s="512" t="s">
        <v>12345</v>
      </c>
      <c r="C10" s="512"/>
      <c r="D10" s="713">
        <f t="shared" ref="D10" si="6">D264</f>
        <v>162645</v>
      </c>
      <c r="F10" s="716"/>
    </row>
    <row r="11" spans="1:6">
      <c r="A11" s="512" t="s">
        <v>12346</v>
      </c>
      <c r="C11" s="512"/>
      <c r="D11" s="713">
        <f t="shared" ref="D11" si="7">D295</f>
        <v>211848</v>
      </c>
      <c r="F11" s="716"/>
    </row>
    <row r="12" spans="1:6">
      <c r="A12" s="512" t="s">
        <v>12347</v>
      </c>
      <c r="C12" s="512"/>
      <c r="D12" s="713">
        <f t="shared" ref="D12" si="8">D328</f>
        <v>163976</v>
      </c>
      <c r="F12" s="716"/>
    </row>
    <row r="13" spans="1:6">
      <c r="A13" s="512" t="s">
        <v>12348</v>
      </c>
      <c r="C13" s="512"/>
      <c r="D13" s="713">
        <f t="shared" ref="D13" si="9">D359</f>
        <v>159419</v>
      </c>
      <c r="F13" s="716"/>
    </row>
    <row r="14" spans="1:6">
      <c r="A14" s="512" t="s">
        <v>12349</v>
      </c>
      <c r="C14" s="512"/>
      <c r="D14" s="713">
        <f t="shared" ref="D14" si="10">D391</f>
        <v>227997</v>
      </c>
      <c r="F14" s="716"/>
    </row>
    <row r="16" spans="1:6">
      <c r="A16" s="512" t="s">
        <v>11699</v>
      </c>
      <c r="D16" s="714">
        <f>CHESHIRE!D9</f>
        <v>16608</v>
      </c>
      <c r="F16" s="711" t="s">
        <v>11700</v>
      </c>
    </row>
    <row r="17" spans="1:6" ht="15" thickBot="1">
      <c r="D17" s="717">
        <f t="shared" ref="D17" si="11">D382</f>
        <v>61039</v>
      </c>
      <c r="F17" s="512" t="s">
        <v>11701</v>
      </c>
    </row>
    <row r="18" spans="1:6" ht="15" thickBot="1">
      <c r="A18" s="512"/>
      <c r="D18" s="717">
        <f t="shared" ref="D18" si="12">D16+D17</f>
        <v>77647</v>
      </c>
      <c r="F18" s="512"/>
    </row>
    <row r="19" spans="1:6">
      <c r="D19" s="714"/>
    </row>
    <row r="20" spans="1:6">
      <c r="A20" s="512" t="s">
        <v>12350</v>
      </c>
      <c r="D20" s="718">
        <f>D349</f>
        <v>76869</v>
      </c>
      <c r="F20" s="512" t="s">
        <v>12351</v>
      </c>
    </row>
    <row r="21" spans="1:6">
      <c r="D21" s="714"/>
    </row>
    <row r="22" spans="1:6">
      <c r="A22" s="512" t="s">
        <v>12352</v>
      </c>
      <c r="D22" s="713">
        <f t="shared" ref="D22" si="13">D190</f>
        <v>55835</v>
      </c>
      <c r="F22" s="512" t="s">
        <v>12353</v>
      </c>
    </row>
    <row r="23" spans="1:6" ht="15" thickBot="1">
      <c r="D23" s="717">
        <f t="shared" ref="D23" si="14">D286</f>
        <v>16168</v>
      </c>
      <c r="F23" s="512" t="s">
        <v>12354</v>
      </c>
    </row>
    <row r="24" spans="1:6" ht="15" thickBot="1">
      <c r="D24" s="719">
        <f t="shared" ref="D24" si="15">D22+D23</f>
        <v>72003</v>
      </c>
    </row>
    <row r="25" spans="1:6">
      <c r="D25" s="714"/>
    </row>
    <row r="26" spans="1:6">
      <c r="A26" s="512" t="s">
        <v>12355</v>
      </c>
      <c r="D26" s="713">
        <f t="shared" ref="D26" si="16">D119</f>
        <v>73610</v>
      </c>
      <c r="F26" s="512" t="s">
        <v>12356</v>
      </c>
    </row>
    <row r="27" spans="1:6">
      <c r="D27" s="714"/>
    </row>
    <row r="28" spans="1:6">
      <c r="A28" s="512" t="s">
        <v>12357</v>
      </c>
      <c r="D28" s="713">
        <f t="shared" ref="D28" si="17">D120</f>
        <v>67461</v>
      </c>
      <c r="F28" s="512" t="s">
        <v>12356</v>
      </c>
    </row>
    <row r="29" spans="1:6" ht="15" thickBot="1">
      <c r="A29" s="512"/>
      <c r="D29" s="717">
        <f t="shared" ref="D29" si="18">D418</f>
        <v>10337</v>
      </c>
      <c r="F29" s="512" t="s">
        <v>12358</v>
      </c>
    </row>
    <row r="30" spans="1:6" ht="15" thickBot="1">
      <c r="A30" s="512"/>
      <c r="D30" s="719">
        <f t="shared" ref="D30" si="19">D28+D29</f>
        <v>77798</v>
      </c>
      <c r="F30" s="512"/>
    </row>
    <row r="31" spans="1:6">
      <c r="A31" s="512"/>
      <c r="D31" s="713"/>
      <c r="F31" s="512"/>
    </row>
    <row r="32" spans="1:6">
      <c r="A32" s="512" t="s">
        <v>11702</v>
      </c>
      <c r="D32" s="714">
        <f>CHESHIRE!D13</f>
        <v>26109</v>
      </c>
      <c r="F32" s="711" t="s">
        <v>11700</v>
      </c>
    </row>
    <row r="33" spans="1:6" ht="15" thickBot="1">
      <c r="A33" s="512"/>
      <c r="D33" s="713">
        <f>D318</f>
        <v>49997</v>
      </c>
      <c r="F33" s="512" t="s">
        <v>11703</v>
      </c>
    </row>
    <row r="34" spans="1:6" ht="15" thickBot="1">
      <c r="A34" s="512"/>
      <c r="D34" s="719">
        <f t="shared" ref="D34" si="20">D32+D33</f>
        <v>76106</v>
      </c>
      <c r="F34" s="512"/>
    </row>
    <row r="35" spans="1:6">
      <c r="A35" s="512"/>
      <c r="D35" s="713"/>
      <c r="F35" s="512"/>
    </row>
    <row r="36" spans="1:6">
      <c r="A36" s="512" t="s">
        <v>12359</v>
      </c>
      <c r="D36" s="713">
        <f t="shared" ref="D36" si="21">D147</f>
        <v>72781</v>
      </c>
      <c r="F36" s="512" t="s">
        <v>12360</v>
      </c>
    </row>
    <row r="37" spans="1:6">
      <c r="D37" s="714"/>
    </row>
    <row r="38" spans="1:6">
      <c r="A38" s="512" t="s">
        <v>12361</v>
      </c>
      <c r="D38" s="713">
        <f>D224</f>
        <v>51808</v>
      </c>
      <c r="F38" s="512" t="s">
        <v>12362</v>
      </c>
    </row>
    <row r="39" spans="1:6" ht="15" thickBot="1">
      <c r="A39" s="512"/>
      <c r="D39" s="713">
        <f>D350</f>
        <v>26694</v>
      </c>
      <c r="F39" s="512" t="s">
        <v>12351</v>
      </c>
    </row>
    <row r="40" spans="1:6" ht="15" thickBot="1">
      <c r="A40" s="512"/>
      <c r="D40" s="719">
        <f t="shared" ref="D40" si="22">D38+D39</f>
        <v>78502</v>
      </c>
      <c r="F40" s="512"/>
    </row>
    <row r="41" spans="1:6">
      <c r="D41" s="714"/>
    </row>
    <row r="42" spans="1:6">
      <c r="A42" s="512" t="s">
        <v>12363</v>
      </c>
      <c r="D42" s="713">
        <f>D121</f>
        <v>47803</v>
      </c>
      <c r="F42" s="512" t="s">
        <v>12356</v>
      </c>
    </row>
    <row r="43" spans="1:6" ht="15" thickBot="1">
      <c r="D43" s="714">
        <f>D148</f>
        <v>23339</v>
      </c>
      <c r="F43" s="512" t="s">
        <v>12360</v>
      </c>
    </row>
    <row r="44" spans="1:6" ht="15" thickBot="1">
      <c r="D44" s="719">
        <f t="shared" ref="D44" si="23">D42+D43</f>
        <v>71142</v>
      </c>
    </row>
    <row r="45" spans="1:6">
      <c r="D45" s="714"/>
    </row>
    <row r="46" spans="1:6">
      <c r="A46" s="512" t="s">
        <v>12364</v>
      </c>
      <c r="D46" s="713">
        <f t="shared" ref="D46" si="24">D419</f>
        <v>73070</v>
      </c>
      <c r="F46" s="512" t="s">
        <v>12358</v>
      </c>
    </row>
    <row r="47" spans="1:6">
      <c r="D47" s="714"/>
    </row>
    <row r="48" spans="1:6">
      <c r="A48" s="512" t="s">
        <v>12365</v>
      </c>
      <c r="D48" s="713">
        <f>D225</f>
        <v>38869</v>
      </c>
      <c r="F48" s="512" t="s">
        <v>12362</v>
      </c>
    </row>
    <row r="49" spans="1:6" ht="15" thickBot="1">
      <c r="A49" s="512"/>
      <c r="D49" s="713">
        <f>D255</f>
        <v>36334</v>
      </c>
      <c r="F49" s="512" t="s">
        <v>12366</v>
      </c>
    </row>
    <row r="50" spans="1:6" ht="15" thickBot="1">
      <c r="D50" s="719">
        <f t="shared" ref="D50" si="25">D48+D49</f>
        <v>75203</v>
      </c>
    </row>
    <row r="51" spans="1:6">
      <c r="D51" s="714"/>
    </row>
    <row r="52" spans="1:6">
      <c r="A52" s="512" t="s">
        <v>12367</v>
      </c>
      <c r="D52" s="713">
        <f t="shared" ref="D52" si="26">D420</f>
        <v>71857</v>
      </c>
      <c r="F52" s="512" t="s">
        <v>12358</v>
      </c>
    </row>
    <row r="53" spans="1:6">
      <c r="D53" s="714"/>
    </row>
    <row r="54" spans="1:6">
      <c r="A54" s="512" t="s">
        <v>12368</v>
      </c>
      <c r="D54" s="713">
        <f t="shared" ref="D54" si="27">D191</f>
        <v>76173</v>
      </c>
      <c r="F54" s="512" t="s">
        <v>12353</v>
      </c>
    </row>
    <row r="55" spans="1:6">
      <c r="D55" s="714"/>
    </row>
    <row r="56" spans="1:6">
      <c r="A56" s="512" t="s">
        <v>12369</v>
      </c>
      <c r="D56" s="713">
        <f t="shared" ref="D56" si="28">D192</f>
        <v>74227</v>
      </c>
      <c r="F56" s="512" t="s">
        <v>12353</v>
      </c>
    </row>
    <row r="57" spans="1:6">
      <c r="D57" s="714"/>
    </row>
    <row r="58" spans="1:6">
      <c r="A58" s="512" t="s">
        <v>12370</v>
      </c>
      <c r="D58" s="713">
        <f t="shared" ref="D58" si="29">D193</f>
        <v>74616</v>
      </c>
      <c r="F58" s="512" t="s">
        <v>12353</v>
      </c>
    </row>
    <row r="59" spans="1:6">
      <c r="D59" s="714"/>
    </row>
    <row r="60" spans="1:6">
      <c r="A60" s="512" t="s">
        <v>12371</v>
      </c>
      <c r="D60" s="714">
        <f>D319</f>
        <v>40214</v>
      </c>
      <c r="F60" s="512" t="s">
        <v>11703</v>
      </c>
    </row>
    <row r="61" spans="1:6" ht="15" thickBot="1">
      <c r="A61" s="512"/>
      <c r="D61" s="717">
        <f>D351</f>
        <v>34693</v>
      </c>
      <c r="F61" s="512" t="s">
        <v>12351</v>
      </c>
    </row>
    <row r="62" spans="1:6" ht="15" thickBot="1">
      <c r="A62" s="512"/>
      <c r="D62" s="719">
        <f t="shared" ref="D62" si="30">D60+D61</f>
        <v>74907</v>
      </c>
      <c r="F62" s="512"/>
    </row>
    <row r="63" spans="1:6">
      <c r="D63" s="714"/>
    </row>
    <row r="64" spans="1:6">
      <c r="A64" s="512" t="s">
        <v>12372</v>
      </c>
      <c r="D64" s="713">
        <f>D194</f>
        <v>11166</v>
      </c>
      <c r="F64" s="512" t="s">
        <v>12353</v>
      </c>
    </row>
    <row r="65" spans="1:6" ht="15" thickBot="1">
      <c r="A65" s="512"/>
      <c r="D65" s="713">
        <f>D226</f>
        <v>63074</v>
      </c>
      <c r="F65" s="512" t="s">
        <v>12362</v>
      </c>
    </row>
    <row r="66" spans="1:6" ht="15" thickBot="1">
      <c r="A66" s="512"/>
      <c r="D66" s="719">
        <f t="shared" ref="D66" si="31">D64+D65</f>
        <v>74240</v>
      </c>
      <c r="F66" s="512"/>
    </row>
    <row r="67" spans="1:6">
      <c r="A67" s="512"/>
      <c r="D67" s="718"/>
      <c r="F67" s="512"/>
    </row>
    <row r="68" spans="1:6">
      <c r="A68" s="512" t="s">
        <v>12373</v>
      </c>
      <c r="D68" s="713">
        <f>D149</f>
        <v>38529</v>
      </c>
      <c r="F68" s="512" t="s">
        <v>12360</v>
      </c>
    </row>
    <row r="69" spans="1:6" ht="15" thickBot="1">
      <c r="D69" s="713">
        <f>D256</f>
        <v>38295</v>
      </c>
      <c r="F69" s="512" t="s">
        <v>12366</v>
      </c>
    </row>
    <row r="70" spans="1:6" ht="15" thickBot="1">
      <c r="A70" s="512"/>
      <c r="D70" s="719">
        <f t="shared" ref="D70" si="32">D68+D69</f>
        <v>76824</v>
      </c>
      <c r="F70" s="512"/>
    </row>
    <row r="71" spans="1:6">
      <c r="A71" s="512"/>
      <c r="D71" s="718"/>
      <c r="F71" s="512"/>
    </row>
    <row r="72" spans="1:6">
      <c r="A72" s="512" t="s">
        <v>12374</v>
      </c>
      <c r="D72" s="713">
        <f>D257</f>
        <v>73781</v>
      </c>
      <c r="F72" s="512" t="s">
        <v>12366</v>
      </c>
    </row>
    <row r="73" spans="1:6">
      <c r="D73" s="714"/>
    </row>
    <row r="74" spans="1:6">
      <c r="A74" s="512" t="s">
        <v>12375</v>
      </c>
      <c r="D74" s="713">
        <f t="shared" ref="D74" si="33">D287</f>
        <v>74161</v>
      </c>
      <c r="F74" s="512" t="s">
        <v>12354</v>
      </c>
    </row>
    <row r="75" spans="1:6">
      <c r="D75" s="714"/>
    </row>
    <row r="76" spans="1:6">
      <c r="A76" s="512" t="s">
        <v>12376</v>
      </c>
      <c r="D76" s="714">
        <f>D320</f>
        <v>49796</v>
      </c>
      <c r="F76" s="512" t="s">
        <v>11703</v>
      </c>
    </row>
    <row r="77" spans="1:6" ht="15" thickBot="1">
      <c r="D77" s="717">
        <f t="shared" ref="D77" si="34">D352</f>
        <v>25720</v>
      </c>
      <c r="F77" s="512" t="s">
        <v>12351</v>
      </c>
    </row>
    <row r="78" spans="1:6" ht="15" thickBot="1">
      <c r="D78" s="717">
        <f t="shared" ref="D78" si="35">D76+D77</f>
        <v>75516</v>
      </c>
      <c r="F78" s="512"/>
    </row>
    <row r="79" spans="1:6">
      <c r="D79" s="714"/>
    </row>
    <row r="80" spans="1:6">
      <c r="A80" s="512" t="s">
        <v>12377</v>
      </c>
      <c r="D80" s="713">
        <f t="shared" ref="D80" si="36">D321</f>
        <v>71841</v>
      </c>
      <c r="F80" s="512" t="s">
        <v>11703</v>
      </c>
    </row>
    <row r="81" spans="1:6">
      <c r="D81" s="714"/>
    </row>
    <row r="82" spans="1:6">
      <c r="A82" s="512" t="s">
        <v>12378</v>
      </c>
      <c r="D82" s="713">
        <f t="shared" ref="D82" si="37">D383</f>
        <v>76104</v>
      </c>
      <c r="F82" s="512" t="s">
        <v>11701</v>
      </c>
    </row>
    <row r="83" spans="1:6">
      <c r="D83" s="714"/>
    </row>
    <row r="84" spans="1:6">
      <c r="A84" s="512" t="s">
        <v>12379</v>
      </c>
      <c r="D84" s="713">
        <f t="shared" ref="D84" si="38">D421</f>
        <v>72733</v>
      </c>
      <c r="F84" s="512" t="s">
        <v>12358</v>
      </c>
    </row>
    <row r="85" spans="1:6">
      <c r="D85" s="714"/>
    </row>
    <row r="86" spans="1:6">
      <c r="A86" s="512" t="s">
        <v>12380</v>
      </c>
      <c r="D86" s="713">
        <f t="shared" ref="D86" si="39">D288</f>
        <v>72316</v>
      </c>
      <c r="F86" s="512" t="s">
        <v>12354</v>
      </c>
    </row>
    <row r="87" spans="1:6">
      <c r="D87" s="714"/>
    </row>
    <row r="88" spans="1:6">
      <c r="A88" s="512" t="s">
        <v>12381</v>
      </c>
      <c r="D88" s="713">
        <f t="shared" ref="D88" si="40">D195</f>
        <v>53643</v>
      </c>
      <c r="F88" s="512" t="s">
        <v>12353</v>
      </c>
    </row>
    <row r="89" spans="1:6" ht="15" thickBot="1">
      <c r="A89" s="512" t="s">
        <v>5706</v>
      </c>
      <c r="D89" s="717">
        <f t="shared" ref="D89" si="41">D384</f>
        <v>22276</v>
      </c>
      <c r="F89" s="512" t="s">
        <v>11701</v>
      </c>
    </row>
    <row r="90" spans="1:6" ht="15" thickBot="1">
      <c r="D90" s="717">
        <f t="shared" ref="D90" si="42">D88+D89</f>
        <v>75919</v>
      </c>
    </row>
    <row r="91" spans="1:6">
      <c r="D91" s="714"/>
    </row>
    <row r="92" spans="1:6">
      <c r="A92" s="512" t="s">
        <v>1041</v>
      </c>
      <c r="D92" s="713">
        <f>D17+D20+D24+D26+D30+D33+D36+D40+D44+D46+D50+D52+D54+D56+D58+D62+D66+D70+D72+D74+D78+D80+D82+D84+D86+D90</f>
        <v>1897229</v>
      </c>
    </row>
    <row r="93" spans="1:6">
      <c r="D93" s="714"/>
    </row>
    <row r="95" spans="1:6">
      <c r="D95" s="10" t="s">
        <v>285</v>
      </c>
      <c r="E95" s="16"/>
      <c r="F95" s="38" t="s">
        <v>4116</v>
      </c>
    </row>
    <row r="96" spans="1:6">
      <c r="D96" s="15">
        <v>2016</v>
      </c>
      <c r="F96" s="18" t="s">
        <v>286</v>
      </c>
    </row>
    <row r="97" spans="1:10">
      <c r="A97" s="512" t="s">
        <v>12382</v>
      </c>
      <c r="C97" s="512"/>
      <c r="D97" s="713">
        <f t="shared" ref="D97" si="43">SUM(D98:D117)</f>
        <v>188874</v>
      </c>
    </row>
    <row r="98" spans="1:10">
      <c r="A98" s="512" t="s">
        <v>812</v>
      </c>
      <c r="B98" s="512" t="s">
        <v>12383</v>
      </c>
      <c r="C98" s="1" t="s">
        <v>12384</v>
      </c>
      <c r="D98" s="7">
        <v>9911</v>
      </c>
      <c r="F98" s="512" t="s">
        <v>12355</v>
      </c>
    </row>
    <row r="99" spans="1:10">
      <c r="A99" s="512" t="s">
        <v>813</v>
      </c>
      <c r="B99" s="512" t="s">
        <v>12385</v>
      </c>
      <c r="C99" s="1" t="s">
        <v>12386</v>
      </c>
      <c r="D99" s="7">
        <v>8589</v>
      </c>
      <c r="F99" s="512" t="s">
        <v>12355</v>
      </c>
      <c r="H99" s="1"/>
      <c r="J99" s="1"/>
    </row>
    <row r="100" spans="1:10">
      <c r="A100" s="512" t="s">
        <v>814</v>
      </c>
      <c r="B100" s="512" t="s">
        <v>12387</v>
      </c>
      <c r="C100" s="1" t="s">
        <v>12388</v>
      </c>
      <c r="D100" s="7">
        <v>9027</v>
      </c>
      <c r="F100" s="512" t="s">
        <v>12355</v>
      </c>
    </row>
    <row r="101" spans="1:10">
      <c r="A101" s="512" t="s">
        <v>815</v>
      </c>
      <c r="B101" s="512" t="s">
        <v>12389</v>
      </c>
      <c r="C101" s="1" t="s">
        <v>12390</v>
      </c>
      <c r="D101" s="7">
        <v>10217</v>
      </c>
      <c r="F101" s="512" t="s">
        <v>12355</v>
      </c>
      <c r="H101" s="1"/>
      <c r="J101" s="1"/>
    </row>
    <row r="102" spans="1:10">
      <c r="A102" s="512" t="s">
        <v>816</v>
      </c>
      <c r="B102" s="512" t="s">
        <v>12391</v>
      </c>
      <c r="C102" s="1" t="s">
        <v>12392</v>
      </c>
      <c r="D102" s="7">
        <v>9659</v>
      </c>
      <c r="F102" s="512" t="s">
        <v>12355</v>
      </c>
      <c r="H102" s="1"/>
      <c r="J102" s="1"/>
    </row>
    <row r="103" spans="1:10">
      <c r="A103" s="512" t="s">
        <v>826</v>
      </c>
      <c r="B103" s="512" t="s">
        <v>11928</v>
      </c>
      <c r="C103" s="1" t="s">
        <v>12393</v>
      </c>
      <c r="D103" s="7">
        <v>9838</v>
      </c>
      <c r="F103" s="512" t="s">
        <v>12363</v>
      </c>
      <c r="H103" s="1"/>
      <c r="J103" s="1"/>
    </row>
    <row r="104" spans="1:10">
      <c r="A104" s="512" t="s">
        <v>827</v>
      </c>
      <c r="B104" s="512" t="s">
        <v>12394</v>
      </c>
      <c r="C104" s="1" t="s">
        <v>12395</v>
      </c>
      <c r="D104" s="7">
        <v>8722</v>
      </c>
      <c r="F104" s="512" t="s">
        <v>12355</v>
      </c>
      <c r="H104" s="1"/>
      <c r="J104" s="1"/>
    </row>
    <row r="105" spans="1:10">
      <c r="A105" s="512" t="s">
        <v>828</v>
      </c>
      <c r="B105" s="512" t="s">
        <v>12396</v>
      </c>
      <c r="C105" s="1" t="s">
        <v>12397</v>
      </c>
      <c r="D105" s="7">
        <v>8078</v>
      </c>
      <c r="F105" s="512" t="s">
        <v>12357</v>
      </c>
      <c r="H105" s="1"/>
      <c r="J105" s="1"/>
    </row>
    <row r="106" spans="1:10">
      <c r="A106" s="512" t="s">
        <v>829</v>
      </c>
      <c r="B106" s="512" t="s">
        <v>12398</v>
      </c>
      <c r="C106" s="1" t="s">
        <v>12399</v>
      </c>
      <c r="D106" s="7">
        <v>9160</v>
      </c>
      <c r="F106" s="512" t="s">
        <v>12363</v>
      </c>
      <c r="H106" s="1"/>
      <c r="J106" s="1"/>
    </row>
    <row r="107" spans="1:10">
      <c r="A107" s="512" t="s">
        <v>830</v>
      </c>
      <c r="B107" s="512" t="s">
        <v>12400</v>
      </c>
      <c r="C107" s="1" t="s">
        <v>12401</v>
      </c>
      <c r="D107" s="7">
        <v>10303</v>
      </c>
      <c r="F107" s="512" t="s">
        <v>12357</v>
      </c>
      <c r="H107" s="1"/>
      <c r="J107" s="1"/>
    </row>
    <row r="108" spans="1:10">
      <c r="A108" s="512" t="s">
        <v>831</v>
      </c>
      <c r="B108" s="512" t="s">
        <v>12402</v>
      </c>
      <c r="C108" s="1" t="s">
        <v>12403</v>
      </c>
      <c r="D108" s="8">
        <v>9765</v>
      </c>
      <c r="F108" s="512" t="s">
        <v>12357</v>
      </c>
      <c r="H108" s="1"/>
      <c r="J108" s="1"/>
    </row>
    <row r="109" spans="1:10">
      <c r="A109" s="512" t="s">
        <v>832</v>
      </c>
      <c r="B109" s="512" t="s">
        <v>12404</v>
      </c>
      <c r="C109" s="1" t="s">
        <v>12405</v>
      </c>
      <c r="D109" s="8">
        <v>9590</v>
      </c>
      <c r="F109" s="512" t="s">
        <v>12357</v>
      </c>
      <c r="H109" s="1"/>
      <c r="J109" s="1"/>
    </row>
    <row r="110" spans="1:10">
      <c r="A110" s="512" t="s">
        <v>833</v>
      </c>
      <c r="B110" s="512" t="s">
        <v>12406</v>
      </c>
      <c r="C110" s="1" t="s">
        <v>12407</v>
      </c>
      <c r="D110" s="7">
        <v>9480</v>
      </c>
      <c r="F110" s="512" t="s">
        <v>12363</v>
      </c>
      <c r="H110" s="1"/>
      <c r="J110" s="1"/>
    </row>
    <row r="111" spans="1:10">
      <c r="A111" s="512" t="s">
        <v>834</v>
      </c>
      <c r="B111" s="512" t="s">
        <v>12408</v>
      </c>
      <c r="C111" s="1" t="s">
        <v>12409</v>
      </c>
      <c r="D111" s="7">
        <v>10005</v>
      </c>
      <c r="F111" s="512" t="s">
        <v>12363</v>
      </c>
      <c r="H111" s="1"/>
      <c r="J111" s="1"/>
    </row>
    <row r="112" spans="1:10">
      <c r="A112" s="512" t="s">
        <v>835</v>
      </c>
      <c r="B112" s="512" t="s">
        <v>12410</v>
      </c>
      <c r="C112" s="1" t="s">
        <v>12411</v>
      </c>
      <c r="D112" s="7">
        <v>9320</v>
      </c>
      <c r="F112" s="512" t="s">
        <v>12363</v>
      </c>
      <c r="H112" s="1"/>
      <c r="J112" s="1"/>
    </row>
    <row r="113" spans="1:10">
      <c r="A113" s="512" t="s">
        <v>836</v>
      </c>
      <c r="B113" s="512" t="s">
        <v>12412</v>
      </c>
      <c r="C113" s="1" t="s">
        <v>12413</v>
      </c>
      <c r="D113" s="7">
        <v>9085</v>
      </c>
      <c r="F113" s="512" t="s">
        <v>12355</v>
      </c>
      <c r="H113" s="1"/>
      <c r="J113" s="1"/>
    </row>
    <row r="114" spans="1:10">
      <c r="A114" s="512" t="s">
        <v>837</v>
      </c>
      <c r="B114" s="512" t="s">
        <v>12414</v>
      </c>
      <c r="C114" s="1" t="s">
        <v>12415</v>
      </c>
      <c r="D114" s="8">
        <v>9758</v>
      </c>
      <c r="F114" s="512" t="s">
        <v>12357</v>
      </c>
      <c r="H114" s="1"/>
      <c r="J114" s="1"/>
    </row>
    <row r="115" spans="1:10">
      <c r="A115" s="512" t="s">
        <v>838</v>
      </c>
      <c r="B115" s="512" t="s">
        <v>12416</v>
      </c>
      <c r="C115" s="1" t="s">
        <v>12417</v>
      </c>
      <c r="D115" s="7">
        <v>8400</v>
      </c>
      <c r="F115" s="512" t="s">
        <v>12355</v>
      </c>
      <c r="H115" s="1"/>
      <c r="J115" s="1"/>
    </row>
    <row r="116" spans="1:10">
      <c r="A116" s="512" t="s">
        <v>840</v>
      </c>
      <c r="B116" s="512" t="s">
        <v>12418</v>
      </c>
      <c r="C116" s="1" t="s">
        <v>12419</v>
      </c>
      <c r="D116" s="8">
        <v>10550</v>
      </c>
      <c r="F116" s="512" t="s">
        <v>12357</v>
      </c>
      <c r="H116" s="1"/>
      <c r="J116" s="1"/>
    </row>
    <row r="117" spans="1:10">
      <c r="A117" s="512" t="s">
        <v>841</v>
      </c>
      <c r="B117" s="512" t="s">
        <v>12420</v>
      </c>
      <c r="C117" s="1" t="s">
        <v>12421</v>
      </c>
      <c r="D117" s="8">
        <v>9417</v>
      </c>
      <c r="F117" s="512" t="s">
        <v>12357</v>
      </c>
      <c r="H117" s="1"/>
      <c r="J117" s="1"/>
    </row>
    <row r="118" spans="1:10">
      <c r="D118" s="714"/>
    </row>
    <row r="119" spans="1:10">
      <c r="A119" s="512" t="s">
        <v>12355</v>
      </c>
      <c r="D119" s="713">
        <f>SUM(D98:D102)+D104+D113+D115</f>
        <v>73610</v>
      </c>
    </row>
    <row r="120" spans="1:10">
      <c r="A120" s="512" t="s">
        <v>12422</v>
      </c>
      <c r="D120" s="713">
        <f>D105+SUM(D107:D109)+D114+D116+D117</f>
        <v>67461</v>
      </c>
    </row>
    <row r="121" spans="1:10">
      <c r="A121" s="512" t="s">
        <v>12423</v>
      </c>
      <c r="D121" s="713">
        <f>D103+D106+SUM(D110:D112)</f>
        <v>47803</v>
      </c>
    </row>
    <row r="122" spans="1:10">
      <c r="A122" s="512"/>
      <c r="D122" s="713"/>
    </row>
    <row r="123" spans="1:10">
      <c r="A123" s="711" t="s">
        <v>12424</v>
      </c>
    </row>
    <row r="126" spans="1:10">
      <c r="D126" s="10" t="s">
        <v>285</v>
      </c>
      <c r="E126" s="16"/>
      <c r="F126" s="38" t="s">
        <v>4116</v>
      </c>
    </row>
    <row r="127" spans="1:10">
      <c r="D127" s="15">
        <v>2016</v>
      </c>
      <c r="F127" s="18" t="s">
        <v>286</v>
      </c>
    </row>
    <row r="128" spans="1:10">
      <c r="A128" s="512" t="s">
        <v>12425</v>
      </c>
      <c r="D128" s="713">
        <f t="shared" ref="D128" si="44">SUM(D129:D145)</f>
        <v>134649</v>
      </c>
    </row>
    <row r="129" spans="1:10">
      <c r="A129" s="512" t="s">
        <v>812</v>
      </c>
      <c r="B129" s="512" t="s">
        <v>12426</v>
      </c>
      <c r="C129" s="1" t="s">
        <v>12427</v>
      </c>
      <c r="D129" s="7">
        <v>7667</v>
      </c>
      <c r="F129" s="512" t="s">
        <v>12373</v>
      </c>
    </row>
    <row r="130" spans="1:10">
      <c r="A130" s="512" t="s">
        <v>813</v>
      </c>
      <c r="B130" s="512" t="s">
        <v>12428</v>
      </c>
      <c r="C130" s="1" t="s">
        <v>12429</v>
      </c>
      <c r="D130" s="7">
        <v>8163</v>
      </c>
      <c r="F130" s="512" t="s">
        <v>12359</v>
      </c>
    </row>
    <row r="131" spans="1:10">
      <c r="A131" s="512" t="s">
        <v>814</v>
      </c>
      <c r="B131" s="512" t="s">
        <v>7028</v>
      </c>
      <c r="C131" s="1" t="s">
        <v>12430</v>
      </c>
      <c r="D131" s="7">
        <v>7320</v>
      </c>
      <c r="F131" s="512" t="s">
        <v>12359</v>
      </c>
    </row>
    <row r="132" spans="1:10">
      <c r="A132" s="512" t="s">
        <v>815</v>
      </c>
      <c r="B132" s="512" t="s">
        <v>11841</v>
      </c>
      <c r="C132" s="1" t="s">
        <v>12431</v>
      </c>
      <c r="D132" s="7">
        <v>8420</v>
      </c>
      <c r="F132" s="512" t="s">
        <v>12359</v>
      </c>
      <c r="H132" s="1"/>
      <c r="J132" s="1"/>
    </row>
    <row r="133" spans="1:10">
      <c r="A133" s="512" t="s">
        <v>816</v>
      </c>
      <c r="B133" s="512" t="s">
        <v>12432</v>
      </c>
      <c r="C133" s="1" t="s">
        <v>12433</v>
      </c>
      <c r="D133" s="7">
        <v>8333</v>
      </c>
      <c r="F133" s="512" t="s">
        <v>12373</v>
      </c>
      <c r="H133" s="1"/>
      <c r="J133" s="1"/>
    </row>
    <row r="134" spans="1:10">
      <c r="A134" s="512" t="s">
        <v>826</v>
      </c>
      <c r="B134" s="512" t="s">
        <v>12434</v>
      </c>
      <c r="C134" s="1" t="s">
        <v>12435</v>
      </c>
      <c r="D134" s="7">
        <v>8196</v>
      </c>
      <c r="F134" s="512" t="s">
        <v>12359</v>
      </c>
      <c r="H134" s="1"/>
      <c r="J134" s="1"/>
    </row>
    <row r="135" spans="1:10">
      <c r="A135" s="512" t="s">
        <v>827</v>
      </c>
      <c r="B135" s="512" t="s">
        <v>12436</v>
      </c>
      <c r="C135" s="1" t="s">
        <v>12437</v>
      </c>
      <c r="D135" s="7">
        <v>7984</v>
      </c>
      <c r="F135" s="512" t="s">
        <v>12359</v>
      </c>
      <c r="H135" s="1"/>
      <c r="J135" s="1"/>
    </row>
    <row r="136" spans="1:10">
      <c r="A136" s="512" t="s">
        <v>828</v>
      </c>
      <c r="B136" s="512" t="s">
        <v>12438</v>
      </c>
      <c r="C136" s="1" t="s">
        <v>12439</v>
      </c>
      <c r="D136" s="7">
        <v>7328</v>
      </c>
      <c r="F136" s="512" t="s">
        <v>12363</v>
      </c>
      <c r="H136" s="1"/>
      <c r="J136" s="1"/>
    </row>
    <row r="137" spans="1:10">
      <c r="A137" s="512" t="s">
        <v>829</v>
      </c>
      <c r="B137" s="512" t="s">
        <v>12440</v>
      </c>
      <c r="C137" s="1" t="s">
        <v>12441</v>
      </c>
      <c r="D137" s="7">
        <v>8217</v>
      </c>
      <c r="F137" s="512" t="s">
        <v>12359</v>
      </c>
      <c r="H137" s="1"/>
      <c r="J137" s="1"/>
    </row>
    <row r="138" spans="1:10">
      <c r="A138" s="512" t="s">
        <v>830</v>
      </c>
      <c r="B138" s="512" t="s">
        <v>12442</v>
      </c>
      <c r="C138" s="1" t="s">
        <v>12443</v>
      </c>
      <c r="D138" s="7">
        <v>8207</v>
      </c>
      <c r="F138" s="512" t="s">
        <v>12363</v>
      </c>
      <c r="H138" s="1"/>
      <c r="J138" s="1"/>
    </row>
    <row r="139" spans="1:10">
      <c r="A139" s="512" t="s">
        <v>831</v>
      </c>
      <c r="B139" s="512" t="s">
        <v>12444</v>
      </c>
      <c r="C139" s="1" t="s">
        <v>12445</v>
      </c>
      <c r="D139" s="7">
        <v>7804</v>
      </c>
      <c r="F139" s="512" t="s">
        <v>12363</v>
      </c>
      <c r="H139" s="1"/>
      <c r="J139" s="1"/>
    </row>
    <row r="140" spans="1:10">
      <c r="A140" s="512" t="s">
        <v>832</v>
      </c>
      <c r="B140" s="512" t="s">
        <v>12446</v>
      </c>
      <c r="C140" s="1" t="s">
        <v>12447</v>
      </c>
      <c r="D140" s="7">
        <v>8669</v>
      </c>
      <c r="F140" s="512" t="s">
        <v>12359</v>
      </c>
      <c r="H140" s="1"/>
      <c r="J140" s="1"/>
    </row>
    <row r="141" spans="1:10">
      <c r="A141" s="512" t="s">
        <v>833</v>
      </c>
      <c r="B141" s="512" t="s">
        <v>12448</v>
      </c>
      <c r="C141" s="1" t="s">
        <v>12449</v>
      </c>
      <c r="D141" s="7">
        <v>8115</v>
      </c>
      <c r="F141" s="512" t="s">
        <v>12359</v>
      </c>
      <c r="H141" s="1"/>
      <c r="J141" s="1"/>
    </row>
    <row r="142" spans="1:10">
      <c r="A142" s="512" t="s">
        <v>834</v>
      </c>
      <c r="B142" s="512" t="s">
        <v>5043</v>
      </c>
      <c r="C142" s="1" t="s">
        <v>12450</v>
      </c>
      <c r="D142" s="8">
        <v>7371</v>
      </c>
      <c r="F142" s="512" t="s">
        <v>12373</v>
      </c>
      <c r="H142" s="1"/>
      <c r="J142" s="1"/>
    </row>
    <row r="143" spans="1:10">
      <c r="A143" s="512" t="s">
        <v>835</v>
      </c>
      <c r="B143" s="512" t="s">
        <v>3589</v>
      </c>
      <c r="C143" s="1" t="s">
        <v>12451</v>
      </c>
      <c r="D143" s="7">
        <v>8128</v>
      </c>
      <c r="F143" s="512" t="s">
        <v>12373</v>
      </c>
      <c r="H143" s="1"/>
      <c r="J143" s="1"/>
    </row>
    <row r="144" spans="1:10">
      <c r="A144" s="512" t="s">
        <v>836</v>
      </c>
      <c r="B144" s="512" t="s">
        <v>12452</v>
      </c>
      <c r="C144" s="1" t="s">
        <v>12453</v>
      </c>
      <c r="D144" s="7">
        <v>7697</v>
      </c>
      <c r="F144" s="512" t="s">
        <v>12359</v>
      </c>
      <c r="H144" s="1"/>
      <c r="J144" s="1"/>
    </row>
    <row r="145" spans="1:10">
      <c r="A145" s="720">
        <v>17</v>
      </c>
      <c r="B145" s="512" t="s">
        <v>12454</v>
      </c>
      <c r="C145" s="1" t="s">
        <v>12455</v>
      </c>
      <c r="D145" s="8">
        <v>7030</v>
      </c>
      <c r="F145" s="512" t="s">
        <v>12373</v>
      </c>
      <c r="H145" s="1"/>
      <c r="J145" s="1"/>
    </row>
    <row r="146" spans="1:10">
      <c r="D146" s="714"/>
    </row>
    <row r="147" spans="1:10">
      <c r="A147" s="512" t="s">
        <v>12359</v>
      </c>
      <c r="D147" s="713">
        <f>SUM(D130:D132)+D134+D135+D137+D140+D141+D144</f>
        <v>72781</v>
      </c>
    </row>
    <row r="148" spans="1:10">
      <c r="A148" s="512" t="s">
        <v>12423</v>
      </c>
      <c r="D148" s="713">
        <f>D136+D138+D139</f>
        <v>23339</v>
      </c>
    </row>
    <row r="149" spans="1:10">
      <c r="A149" s="512" t="s">
        <v>12456</v>
      </c>
      <c r="D149" s="713">
        <f>D129+D133+D142+D143+D145</f>
        <v>38529</v>
      </c>
    </row>
    <row r="150" spans="1:10">
      <c r="A150" s="512"/>
      <c r="D150" s="713"/>
    </row>
    <row r="151" spans="1:10">
      <c r="A151" s="711" t="s">
        <v>12457</v>
      </c>
    </row>
    <row r="154" spans="1:10">
      <c r="D154" s="10" t="s">
        <v>285</v>
      </c>
      <c r="E154" s="16"/>
      <c r="F154" s="38" t="s">
        <v>4116</v>
      </c>
    </row>
    <row r="155" spans="1:10">
      <c r="D155" s="15">
        <v>2016</v>
      </c>
      <c r="F155" s="18" t="s">
        <v>286</v>
      </c>
    </row>
    <row r="156" spans="1:10">
      <c r="A156" s="512" t="s">
        <v>12458</v>
      </c>
      <c r="D156" s="713">
        <f t="shared" ref="D156" si="45">SUM(D157:D188)</f>
        <v>345660</v>
      </c>
    </row>
    <row r="157" spans="1:10">
      <c r="A157" s="512" t="s">
        <v>812</v>
      </c>
      <c r="B157" s="512" t="s">
        <v>12459</v>
      </c>
      <c r="C157" s="1" t="s">
        <v>12460</v>
      </c>
      <c r="D157" s="7">
        <v>12525</v>
      </c>
      <c r="F157" s="512" t="s">
        <v>12368</v>
      </c>
      <c r="H157" s="1"/>
      <c r="J157" s="1"/>
    </row>
    <row r="158" spans="1:10">
      <c r="A158" s="512" t="s">
        <v>813</v>
      </c>
      <c r="B158" s="512" t="s">
        <v>12461</v>
      </c>
      <c r="C158" s="1" t="s">
        <v>12462</v>
      </c>
      <c r="D158" s="7">
        <v>9809</v>
      </c>
      <c r="F158" s="512" t="s">
        <v>12368</v>
      </c>
      <c r="H158" s="1"/>
      <c r="J158" s="1"/>
    </row>
    <row r="159" spans="1:10">
      <c r="A159" s="512" t="s">
        <v>814</v>
      </c>
      <c r="B159" s="512" t="s">
        <v>12463</v>
      </c>
      <c r="C159" s="1" t="s">
        <v>12464</v>
      </c>
      <c r="D159" s="8">
        <v>10750</v>
      </c>
      <c r="F159" s="512" t="s">
        <v>12381</v>
      </c>
      <c r="H159" s="1"/>
      <c r="J159" s="1"/>
    </row>
    <row r="160" spans="1:10">
      <c r="A160" s="512" t="s">
        <v>815</v>
      </c>
      <c r="B160" s="512" t="s">
        <v>10591</v>
      </c>
      <c r="C160" s="1" t="s">
        <v>12465</v>
      </c>
      <c r="D160" s="7">
        <v>11488</v>
      </c>
      <c r="F160" s="512" t="s">
        <v>12368</v>
      </c>
      <c r="H160" s="1"/>
      <c r="J160" s="1"/>
    </row>
    <row r="161" spans="1:10">
      <c r="A161" s="512" t="s">
        <v>816</v>
      </c>
      <c r="B161" s="512" t="s">
        <v>9848</v>
      </c>
      <c r="C161" s="1" t="s">
        <v>12466</v>
      </c>
      <c r="D161" s="8">
        <v>10490</v>
      </c>
      <c r="F161" s="512" t="s">
        <v>12381</v>
      </c>
      <c r="H161" s="1"/>
      <c r="J161" s="1"/>
    </row>
    <row r="162" spans="1:10">
      <c r="A162" s="512" t="s">
        <v>826</v>
      </c>
      <c r="B162" s="512" t="s">
        <v>12467</v>
      </c>
      <c r="C162" s="1" t="s">
        <v>12468</v>
      </c>
      <c r="D162" s="8">
        <v>10812</v>
      </c>
      <c r="F162" s="512" t="s">
        <v>12370</v>
      </c>
      <c r="H162" s="1"/>
      <c r="J162" s="1"/>
    </row>
    <row r="163" spans="1:10">
      <c r="A163" s="512" t="s">
        <v>827</v>
      </c>
      <c r="B163" s="512" t="s">
        <v>12469</v>
      </c>
      <c r="C163" s="1" t="s">
        <v>12470</v>
      </c>
      <c r="D163" s="7">
        <v>10066</v>
      </c>
      <c r="F163" s="512" t="s">
        <v>12352</v>
      </c>
      <c r="H163" s="1"/>
      <c r="J163" s="1"/>
    </row>
    <row r="164" spans="1:10">
      <c r="A164" s="512" t="s">
        <v>828</v>
      </c>
      <c r="B164" s="512" t="s">
        <v>12471</v>
      </c>
      <c r="C164" s="1" t="s">
        <v>12472</v>
      </c>
      <c r="D164" s="7">
        <v>13726</v>
      </c>
      <c r="F164" s="512" t="s">
        <v>12352</v>
      </c>
      <c r="H164" s="1"/>
      <c r="J164" s="1"/>
    </row>
    <row r="165" spans="1:10">
      <c r="A165" s="512" t="s">
        <v>829</v>
      </c>
      <c r="B165" s="512" t="s">
        <v>12473</v>
      </c>
      <c r="C165" s="1" t="s">
        <v>12474</v>
      </c>
      <c r="D165" s="8">
        <v>10817</v>
      </c>
      <c r="F165" s="512" t="s">
        <v>12370</v>
      </c>
      <c r="H165" s="1"/>
      <c r="J165" s="1"/>
    </row>
    <row r="166" spans="1:10">
      <c r="A166" s="512" t="s">
        <v>830</v>
      </c>
      <c r="B166" s="512" t="s">
        <v>12475</v>
      </c>
      <c r="C166" s="1" t="s">
        <v>12476</v>
      </c>
      <c r="D166" s="8">
        <v>11263</v>
      </c>
      <c r="F166" s="512" t="s">
        <v>12370</v>
      </c>
      <c r="H166" s="1"/>
      <c r="J166" s="1"/>
    </row>
    <row r="167" spans="1:10">
      <c r="A167" s="512" t="s">
        <v>831</v>
      </c>
      <c r="B167" s="512" t="s">
        <v>12477</v>
      </c>
      <c r="C167" s="1" t="s">
        <v>12478</v>
      </c>
      <c r="D167" s="7">
        <v>9483</v>
      </c>
      <c r="F167" s="512" t="s">
        <v>12368</v>
      </c>
      <c r="H167" s="1"/>
      <c r="J167" s="1"/>
    </row>
    <row r="168" spans="1:10">
      <c r="A168" s="512" t="s">
        <v>832</v>
      </c>
      <c r="B168" s="512" t="s">
        <v>12479</v>
      </c>
      <c r="C168" s="1" t="s">
        <v>12480</v>
      </c>
      <c r="D168" s="7">
        <v>10546</v>
      </c>
      <c r="F168" s="512" t="s">
        <v>12352</v>
      </c>
      <c r="H168" s="1"/>
      <c r="J168" s="1"/>
    </row>
    <row r="169" spans="1:10">
      <c r="A169" s="512" t="s">
        <v>833</v>
      </c>
      <c r="B169" s="512" t="s">
        <v>12481</v>
      </c>
      <c r="C169" s="1" t="s">
        <v>12482</v>
      </c>
      <c r="D169" s="8">
        <v>10745</v>
      </c>
      <c r="F169" s="512" t="s">
        <v>12370</v>
      </c>
      <c r="H169" s="1"/>
      <c r="J169" s="1"/>
    </row>
    <row r="170" spans="1:10">
      <c r="A170" s="512" t="s">
        <v>834</v>
      </c>
      <c r="B170" s="512" t="s">
        <v>12483</v>
      </c>
      <c r="C170" s="1" t="s">
        <v>12484</v>
      </c>
      <c r="D170" s="8">
        <v>9927</v>
      </c>
      <c r="F170" s="512" t="s">
        <v>12370</v>
      </c>
      <c r="H170" s="1"/>
      <c r="J170" s="1"/>
    </row>
    <row r="171" spans="1:10">
      <c r="A171" s="512" t="s">
        <v>835</v>
      </c>
      <c r="B171" s="512" t="s">
        <v>12485</v>
      </c>
      <c r="C171" s="1" t="s">
        <v>12486</v>
      </c>
      <c r="D171" s="7">
        <v>10692</v>
      </c>
      <c r="F171" s="512" t="s">
        <v>12369</v>
      </c>
      <c r="H171" s="1"/>
      <c r="J171" s="1"/>
    </row>
    <row r="172" spans="1:10">
      <c r="A172" s="512" t="s">
        <v>836</v>
      </c>
      <c r="B172" s="512" t="s">
        <v>12487</v>
      </c>
      <c r="C172" s="1" t="s">
        <v>12488</v>
      </c>
      <c r="D172" s="7">
        <v>10337</v>
      </c>
      <c r="F172" s="512" t="s">
        <v>12369</v>
      </c>
      <c r="H172" s="1"/>
      <c r="J172" s="1"/>
    </row>
    <row r="173" spans="1:10">
      <c r="A173" s="512" t="s">
        <v>837</v>
      </c>
      <c r="B173" s="512" t="s">
        <v>12489</v>
      </c>
      <c r="C173" s="1" t="s">
        <v>12490</v>
      </c>
      <c r="D173" s="8">
        <v>12234</v>
      </c>
      <c r="F173" s="512" t="s">
        <v>12369</v>
      </c>
      <c r="H173" s="1"/>
      <c r="J173" s="1"/>
    </row>
    <row r="174" spans="1:10">
      <c r="A174" s="512" t="s">
        <v>838</v>
      </c>
      <c r="B174" s="512" t="s">
        <v>12491</v>
      </c>
      <c r="C174" s="1" t="s">
        <v>12492</v>
      </c>
      <c r="D174" s="7">
        <v>11199</v>
      </c>
      <c r="F174" s="512" t="s">
        <v>12352</v>
      </c>
      <c r="H174" s="1"/>
      <c r="J174" s="1"/>
    </row>
    <row r="175" spans="1:10">
      <c r="A175" s="512" t="s">
        <v>840</v>
      </c>
      <c r="B175" s="512" t="s">
        <v>12493</v>
      </c>
      <c r="C175" s="1" t="s">
        <v>12494</v>
      </c>
      <c r="D175" s="7">
        <v>10298</v>
      </c>
      <c r="F175" s="512" t="s">
        <v>12352</v>
      </c>
      <c r="H175" s="1"/>
      <c r="J175" s="1"/>
    </row>
    <row r="176" spans="1:10">
      <c r="A176" s="512" t="s">
        <v>841</v>
      </c>
      <c r="B176" s="512" t="s">
        <v>12495</v>
      </c>
      <c r="C176" s="1" t="s">
        <v>12496</v>
      </c>
      <c r="D176" s="7">
        <v>10149</v>
      </c>
      <c r="F176" s="512" t="s">
        <v>12368</v>
      </c>
      <c r="H176" s="1"/>
      <c r="J176" s="1"/>
    </row>
    <row r="177" spans="1:10">
      <c r="A177" s="512" t="s">
        <v>878</v>
      </c>
      <c r="B177" s="512" t="s">
        <v>12497</v>
      </c>
      <c r="C177" s="1" t="s">
        <v>12498</v>
      </c>
      <c r="D177" s="8">
        <v>10743</v>
      </c>
      <c r="F177" s="512" t="s">
        <v>12369</v>
      </c>
      <c r="H177" s="1"/>
      <c r="J177" s="1"/>
    </row>
    <row r="178" spans="1:10">
      <c r="A178" s="512" t="s">
        <v>879</v>
      </c>
      <c r="B178" s="512" t="s">
        <v>12499</v>
      </c>
      <c r="C178" s="1" t="s">
        <v>12500</v>
      </c>
      <c r="D178" s="8">
        <v>9755</v>
      </c>
      <c r="F178" s="512" t="s">
        <v>12369</v>
      </c>
      <c r="H178" s="1"/>
      <c r="J178" s="1"/>
    </row>
    <row r="179" spans="1:10">
      <c r="A179" s="512" t="s">
        <v>880</v>
      </c>
      <c r="B179" s="512" t="s">
        <v>12501</v>
      </c>
      <c r="C179" s="1" t="s">
        <v>12502</v>
      </c>
      <c r="D179" s="7">
        <v>10254</v>
      </c>
      <c r="F179" s="512" t="s">
        <v>12368</v>
      </c>
      <c r="H179" s="1"/>
      <c r="J179" s="1"/>
    </row>
    <row r="180" spans="1:10">
      <c r="A180" s="512" t="s">
        <v>721</v>
      </c>
      <c r="B180" s="512" t="s">
        <v>12503</v>
      </c>
      <c r="C180" s="1" t="s">
        <v>12504</v>
      </c>
      <c r="D180" s="7">
        <v>12465</v>
      </c>
      <c r="F180" s="512" t="s">
        <v>12368</v>
      </c>
      <c r="H180" s="1"/>
      <c r="J180" s="1"/>
    </row>
    <row r="181" spans="1:10">
      <c r="A181" s="512" t="s">
        <v>722</v>
      </c>
      <c r="B181" s="512" t="s">
        <v>12505</v>
      </c>
      <c r="C181" s="1" t="s">
        <v>12506</v>
      </c>
      <c r="D181" s="7">
        <v>11166</v>
      </c>
      <c r="F181" s="512" t="s">
        <v>12372</v>
      </c>
      <c r="H181" s="1"/>
      <c r="J181" s="1"/>
    </row>
    <row r="182" spans="1:10">
      <c r="A182" s="512" t="s">
        <v>723</v>
      </c>
      <c r="B182" s="512" t="s">
        <v>12507</v>
      </c>
      <c r="C182" s="1" t="s">
        <v>12508</v>
      </c>
      <c r="D182" s="8">
        <v>11055</v>
      </c>
      <c r="F182" s="512" t="s">
        <v>12381</v>
      </c>
      <c r="H182" s="1"/>
      <c r="J182" s="1"/>
    </row>
    <row r="183" spans="1:10">
      <c r="A183" s="512" t="s">
        <v>733</v>
      </c>
      <c r="B183" s="512" t="s">
        <v>12509</v>
      </c>
      <c r="C183" s="1" t="s">
        <v>12510</v>
      </c>
      <c r="D183" s="8">
        <v>11003</v>
      </c>
      <c r="F183" s="512" t="s">
        <v>12370</v>
      </c>
      <c r="H183" s="1"/>
      <c r="J183" s="1"/>
    </row>
    <row r="184" spans="1:10">
      <c r="A184" s="512" t="s">
        <v>734</v>
      </c>
      <c r="B184" s="512" t="s">
        <v>12511</v>
      </c>
      <c r="C184" s="1" t="s">
        <v>12512</v>
      </c>
      <c r="D184" s="8">
        <v>9758</v>
      </c>
      <c r="F184" s="512" t="s">
        <v>12369</v>
      </c>
      <c r="H184" s="1"/>
      <c r="J184" s="1"/>
    </row>
    <row r="185" spans="1:10">
      <c r="A185" s="512" t="s">
        <v>735</v>
      </c>
      <c r="B185" s="512" t="s">
        <v>12513</v>
      </c>
      <c r="C185" s="1" t="s">
        <v>12514</v>
      </c>
      <c r="D185" s="8">
        <v>11424</v>
      </c>
      <c r="F185" s="512" t="s">
        <v>12381</v>
      </c>
      <c r="H185" s="1"/>
      <c r="J185" s="1"/>
    </row>
    <row r="186" spans="1:10">
      <c r="A186" s="512" t="s">
        <v>736</v>
      </c>
      <c r="B186" s="512" t="s">
        <v>12515</v>
      </c>
      <c r="C186" s="1" t="s">
        <v>12516</v>
      </c>
      <c r="D186" s="8">
        <v>10708</v>
      </c>
      <c r="F186" s="512" t="s">
        <v>12369</v>
      </c>
      <c r="H186" s="1"/>
      <c r="J186" s="1"/>
    </row>
    <row r="187" spans="1:10">
      <c r="A187" s="512" t="s">
        <v>931</v>
      </c>
      <c r="B187" s="512" t="s">
        <v>12517</v>
      </c>
      <c r="C187" s="1" t="s">
        <v>12518</v>
      </c>
      <c r="D187" s="8">
        <v>10049</v>
      </c>
      <c r="F187" s="512" t="s">
        <v>12370</v>
      </c>
      <c r="H187" s="1"/>
      <c r="J187" s="1"/>
    </row>
    <row r="188" spans="1:10">
      <c r="A188" s="512" t="s">
        <v>932</v>
      </c>
      <c r="B188" s="512" t="s">
        <v>12519</v>
      </c>
      <c r="C188" s="1" t="s">
        <v>12520</v>
      </c>
      <c r="D188" s="8">
        <v>9924</v>
      </c>
      <c r="F188" s="512" t="s">
        <v>12381</v>
      </c>
      <c r="H188" s="1"/>
      <c r="J188" s="1"/>
    </row>
    <row r="189" spans="1:10">
      <c r="D189" s="714"/>
    </row>
    <row r="190" spans="1:10">
      <c r="A190" s="512" t="s">
        <v>12521</v>
      </c>
      <c r="D190" s="713">
        <f t="shared" ref="D190" si="46">D163+D164+D168+D174+D175</f>
        <v>55835</v>
      </c>
    </row>
    <row r="191" spans="1:10">
      <c r="A191" s="512" t="s">
        <v>12368</v>
      </c>
      <c r="D191" s="713">
        <f>D157+D158+D160+D167+D176+D179+D180</f>
        <v>76173</v>
      </c>
    </row>
    <row r="192" spans="1:10">
      <c r="A192" s="512" t="s">
        <v>12369</v>
      </c>
      <c r="D192" s="713">
        <f t="shared" ref="D192" si="47">D171+D172+D173+D177+D178+D184+D186</f>
        <v>74227</v>
      </c>
    </row>
    <row r="193" spans="1:10">
      <c r="A193" s="512" t="s">
        <v>12370</v>
      </c>
      <c r="D193" s="713">
        <f t="shared" ref="D193" si="48">D162+D165+D166+D169+D170+D183+D187</f>
        <v>74616</v>
      </c>
    </row>
    <row r="194" spans="1:10">
      <c r="A194" s="512" t="s">
        <v>12522</v>
      </c>
      <c r="D194" s="713">
        <f>D181</f>
        <v>11166</v>
      </c>
    </row>
    <row r="195" spans="1:10">
      <c r="A195" s="512" t="s">
        <v>12523</v>
      </c>
      <c r="D195" s="713">
        <f t="shared" ref="D195" si="49">D159+D161+D182+D185+D188</f>
        <v>53643</v>
      </c>
    </row>
    <row r="196" spans="1:10">
      <c r="A196" s="512"/>
      <c r="D196" s="713"/>
    </row>
    <row r="197" spans="1:10">
      <c r="A197" s="711" t="s">
        <v>12524</v>
      </c>
    </row>
    <row r="200" spans="1:10">
      <c r="D200" s="10" t="s">
        <v>285</v>
      </c>
      <c r="E200" s="16"/>
      <c r="F200" s="38" t="s">
        <v>4116</v>
      </c>
    </row>
    <row r="201" spans="1:10">
      <c r="D201" s="15">
        <v>2016</v>
      </c>
      <c r="F201" s="18" t="s">
        <v>286</v>
      </c>
    </row>
    <row r="202" spans="1:10">
      <c r="A202" s="711" t="s">
        <v>12525</v>
      </c>
      <c r="D202" s="714">
        <f>SUM(D203:D222)</f>
        <v>153751</v>
      </c>
    </row>
    <row r="203" spans="1:10">
      <c r="A203" s="512" t="s">
        <v>812</v>
      </c>
      <c r="B203" s="512" t="s">
        <v>8895</v>
      </c>
      <c r="C203" s="1" t="s">
        <v>12526</v>
      </c>
      <c r="D203" s="7">
        <v>6212</v>
      </c>
      <c r="F203" s="512" t="s">
        <v>12527</v>
      </c>
      <c r="H203" s="1"/>
      <c r="J203" s="1"/>
    </row>
    <row r="204" spans="1:10">
      <c r="A204" s="512" t="s">
        <v>813</v>
      </c>
      <c r="B204" s="512" t="s">
        <v>12528</v>
      </c>
      <c r="C204" s="1" t="s">
        <v>12529</v>
      </c>
      <c r="D204" s="7">
        <v>7782</v>
      </c>
      <c r="F204" s="512" t="s">
        <v>12372</v>
      </c>
      <c r="H204" s="1"/>
      <c r="J204" s="1"/>
    </row>
    <row r="205" spans="1:10">
      <c r="A205" s="512" t="s">
        <v>814</v>
      </c>
      <c r="B205" s="512" t="s">
        <v>12530</v>
      </c>
      <c r="C205" s="1" t="s">
        <v>12531</v>
      </c>
      <c r="D205" s="7">
        <v>8114</v>
      </c>
      <c r="F205" s="512" t="s">
        <v>12372</v>
      </c>
      <c r="H205" s="1"/>
      <c r="J205" s="1"/>
    </row>
    <row r="206" spans="1:10">
      <c r="A206" s="512" t="s">
        <v>815</v>
      </c>
      <c r="B206" s="512" t="s">
        <v>12532</v>
      </c>
      <c r="C206" s="1" t="s">
        <v>12533</v>
      </c>
      <c r="D206" s="7">
        <v>7509</v>
      </c>
      <c r="F206" s="512" t="s">
        <v>12372</v>
      </c>
      <c r="H206" s="1"/>
      <c r="J206" s="1"/>
    </row>
    <row r="207" spans="1:10">
      <c r="A207" s="512" t="s">
        <v>816</v>
      </c>
      <c r="B207" s="512" t="s">
        <v>12534</v>
      </c>
      <c r="C207" s="1" t="s">
        <v>12535</v>
      </c>
      <c r="D207" s="7">
        <v>7933</v>
      </c>
      <c r="F207" s="512" t="s">
        <v>12372</v>
      </c>
      <c r="H207" s="1"/>
      <c r="J207" s="1"/>
    </row>
    <row r="208" spans="1:10">
      <c r="A208" s="512" t="s">
        <v>826</v>
      </c>
      <c r="B208" s="512" t="s">
        <v>12391</v>
      </c>
      <c r="C208" s="1" t="s">
        <v>12536</v>
      </c>
      <c r="D208" s="7">
        <v>8064</v>
      </c>
      <c r="F208" s="512" t="s">
        <v>12365</v>
      </c>
      <c r="H208" s="1"/>
      <c r="J208" s="1"/>
    </row>
    <row r="209" spans="1:10">
      <c r="A209" s="512" t="s">
        <v>827</v>
      </c>
      <c r="B209" s="512" t="s">
        <v>12537</v>
      </c>
      <c r="C209" s="1" t="s">
        <v>12538</v>
      </c>
      <c r="D209" s="7">
        <v>7687</v>
      </c>
      <c r="F209" s="512" t="s">
        <v>12361</v>
      </c>
      <c r="H209" s="1"/>
      <c r="J209" s="1"/>
    </row>
    <row r="210" spans="1:10">
      <c r="A210" s="512" t="s">
        <v>828</v>
      </c>
      <c r="B210" s="512" t="s">
        <v>12539</v>
      </c>
      <c r="C210" s="1" t="s">
        <v>12540</v>
      </c>
      <c r="D210" s="7">
        <v>7386</v>
      </c>
      <c r="F210" s="512" t="s">
        <v>12361</v>
      </c>
      <c r="H210" s="1"/>
      <c r="J210" s="1"/>
    </row>
    <row r="211" spans="1:10">
      <c r="A211" s="512" t="s">
        <v>829</v>
      </c>
      <c r="B211" s="512" t="s">
        <v>12541</v>
      </c>
      <c r="C211" s="1" t="s">
        <v>12542</v>
      </c>
      <c r="D211" s="8">
        <v>7171</v>
      </c>
      <c r="F211" s="512" t="s">
        <v>12361</v>
      </c>
      <c r="H211" s="1"/>
      <c r="J211" s="1"/>
    </row>
    <row r="212" spans="1:10">
      <c r="A212" s="512" t="s">
        <v>830</v>
      </c>
      <c r="B212" s="512" t="s">
        <v>12543</v>
      </c>
      <c r="C212" s="1" t="s">
        <v>12544</v>
      </c>
      <c r="D212" s="8">
        <v>7845</v>
      </c>
      <c r="F212" s="512" t="s">
        <v>12361</v>
      </c>
      <c r="H212" s="1"/>
      <c r="J212" s="1"/>
    </row>
    <row r="213" spans="1:10">
      <c r="A213" s="512" t="s">
        <v>831</v>
      </c>
      <c r="B213" s="512" t="s">
        <v>12545</v>
      </c>
      <c r="C213" s="1" t="s">
        <v>12546</v>
      </c>
      <c r="D213" s="8">
        <v>7736</v>
      </c>
      <c r="F213" s="512" t="s">
        <v>12365</v>
      </c>
      <c r="H213" s="1"/>
      <c r="J213" s="1"/>
    </row>
    <row r="214" spans="1:10">
      <c r="A214" s="512" t="s">
        <v>832</v>
      </c>
      <c r="B214" s="512" t="s">
        <v>12547</v>
      </c>
      <c r="C214" s="1" t="s">
        <v>12548</v>
      </c>
      <c r="D214" s="8">
        <v>8105</v>
      </c>
      <c r="F214" s="512" t="s">
        <v>12372</v>
      </c>
      <c r="H214" s="1"/>
      <c r="J214" s="1"/>
    </row>
    <row r="215" spans="1:10">
      <c r="A215" s="512" t="s">
        <v>833</v>
      </c>
      <c r="B215" s="512" t="s">
        <v>12549</v>
      </c>
      <c r="C215" s="1" t="s">
        <v>12550</v>
      </c>
      <c r="D215" s="7">
        <v>7651</v>
      </c>
      <c r="F215" s="512" t="s">
        <v>12365</v>
      </c>
      <c r="H215" s="1"/>
      <c r="J215" s="1"/>
    </row>
    <row r="216" spans="1:10">
      <c r="A216" s="512" t="s">
        <v>834</v>
      </c>
      <c r="B216" s="512" t="s">
        <v>12551</v>
      </c>
      <c r="C216" s="1" t="s">
        <v>12552</v>
      </c>
      <c r="D216" s="7">
        <v>8030</v>
      </c>
      <c r="F216" s="512" t="s">
        <v>12365</v>
      </c>
      <c r="H216" s="1"/>
      <c r="J216" s="1"/>
    </row>
    <row r="217" spans="1:10">
      <c r="A217" s="512" t="s">
        <v>835</v>
      </c>
      <c r="B217" s="512" t="s">
        <v>12553</v>
      </c>
      <c r="C217" s="1" t="s">
        <v>12554</v>
      </c>
      <c r="D217" s="7">
        <v>8246</v>
      </c>
      <c r="F217" s="512" t="s">
        <v>12361</v>
      </c>
      <c r="H217" s="1"/>
      <c r="J217" s="1"/>
    </row>
    <row r="218" spans="1:10">
      <c r="A218" s="512" t="s">
        <v>836</v>
      </c>
      <c r="B218" s="512" t="s">
        <v>12555</v>
      </c>
      <c r="C218" s="1" t="s">
        <v>12556</v>
      </c>
      <c r="D218" s="7">
        <v>7556</v>
      </c>
      <c r="F218" s="512" t="s">
        <v>12372</v>
      </c>
      <c r="H218" s="1"/>
      <c r="J218" s="1"/>
    </row>
    <row r="219" spans="1:10">
      <c r="A219" s="512" t="s">
        <v>837</v>
      </c>
      <c r="B219" s="512" t="s">
        <v>5043</v>
      </c>
      <c r="C219" s="1" t="s">
        <v>12557</v>
      </c>
      <c r="D219" s="7">
        <v>8151</v>
      </c>
      <c r="F219" s="512" t="s">
        <v>12372</v>
      </c>
      <c r="H219" s="1"/>
      <c r="J219" s="1"/>
    </row>
    <row r="220" spans="1:10">
      <c r="A220" s="512" t="s">
        <v>838</v>
      </c>
      <c r="B220" s="512" t="s">
        <v>693</v>
      </c>
      <c r="C220" s="1" t="s">
        <v>12558</v>
      </c>
      <c r="D220" s="7">
        <v>7388</v>
      </c>
      <c r="F220" s="512" t="s">
        <v>12365</v>
      </c>
      <c r="H220" s="1"/>
      <c r="J220" s="1"/>
    </row>
    <row r="221" spans="1:10">
      <c r="A221" s="512" t="s">
        <v>840</v>
      </c>
      <c r="B221" s="512" t="s">
        <v>12559</v>
      </c>
      <c r="C221" s="1" t="s">
        <v>12560</v>
      </c>
      <c r="D221" s="7">
        <v>7924</v>
      </c>
      <c r="F221" s="512" t="s">
        <v>12372</v>
      </c>
      <c r="H221" s="1"/>
      <c r="J221" s="1"/>
    </row>
    <row r="222" spans="1:10">
      <c r="A222" s="512" t="s">
        <v>841</v>
      </c>
      <c r="B222" s="512" t="s">
        <v>12561</v>
      </c>
      <c r="C222" s="1" t="s">
        <v>12562</v>
      </c>
      <c r="D222" s="8">
        <v>7261</v>
      </c>
      <c r="F222" s="512" t="s">
        <v>12361</v>
      </c>
      <c r="H222" s="1"/>
      <c r="J222" s="1"/>
    </row>
    <row r="223" spans="1:10">
      <c r="D223" s="714"/>
    </row>
    <row r="224" spans="1:10">
      <c r="A224" s="512" t="s">
        <v>12563</v>
      </c>
      <c r="D224" s="713">
        <f>D203+SUM(D209:D212)+D217+D222</f>
        <v>51808</v>
      </c>
    </row>
    <row r="225" spans="1:10">
      <c r="A225" s="512" t="s">
        <v>12365</v>
      </c>
      <c r="D225" s="713">
        <f>D208+D213+D215+D216+D220</f>
        <v>38869</v>
      </c>
    </row>
    <row r="226" spans="1:10">
      <c r="A226" s="512" t="s">
        <v>12522</v>
      </c>
      <c r="D226" s="713">
        <f>SUM(D204:D207)+D214+D218+D219+D221</f>
        <v>63074</v>
      </c>
    </row>
    <row r="227" spans="1:10">
      <c r="A227" s="512"/>
      <c r="D227" s="713"/>
    </row>
    <row r="228" spans="1:10">
      <c r="A228" s="711" t="s">
        <v>12564</v>
      </c>
    </row>
    <row r="229" spans="1:10">
      <c r="A229" s="512"/>
      <c r="B229" s="512"/>
      <c r="D229" s="721"/>
    </row>
    <row r="230" spans="1:10">
      <c r="A230" s="512"/>
      <c r="B230" s="512"/>
      <c r="D230" s="721"/>
    </row>
    <row r="231" spans="1:10">
      <c r="D231" s="10" t="s">
        <v>285</v>
      </c>
      <c r="E231" s="16"/>
      <c r="F231" s="38" t="s">
        <v>4116</v>
      </c>
    </row>
    <row r="232" spans="1:10">
      <c r="D232" s="15">
        <v>2016</v>
      </c>
      <c r="F232" s="18" t="s">
        <v>286</v>
      </c>
    </row>
    <row r="233" spans="1:10">
      <c r="A233" s="512" t="s">
        <v>12565</v>
      </c>
      <c r="D233" s="713">
        <f t="shared" ref="D233" si="50">SUM(D234:D253)</f>
        <v>148410</v>
      </c>
    </row>
    <row r="234" spans="1:10">
      <c r="A234" s="512" t="s">
        <v>812</v>
      </c>
      <c r="B234" s="512" t="s">
        <v>12566</v>
      </c>
      <c r="C234" s="1" t="s">
        <v>12567</v>
      </c>
      <c r="D234" s="7">
        <v>6636</v>
      </c>
      <c r="F234" s="512" t="s">
        <v>12365</v>
      </c>
      <c r="H234" s="1"/>
      <c r="J234" s="1"/>
    </row>
    <row r="235" spans="1:10">
      <c r="A235" s="512" t="s">
        <v>813</v>
      </c>
      <c r="B235" s="512" t="s">
        <v>12568</v>
      </c>
      <c r="C235" s="1" t="s">
        <v>12569</v>
      </c>
      <c r="D235" s="7">
        <v>7377</v>
      </c>
      <c r="F235" s="512" t="s">
        <v>12374</v>
      </c>
      <c r="H235" s="1"/>
      <c r="J235" s="1"/>
    </row>
    <row r="236" spans="1:10">
      <c r="A236" s="512" t="s">
        <v>814</v>
      </c>
      <c r="B236" s="512" t="s">
        <v>12570</v>
      </c>
      <c r="C236" s="1" t="s">
        <v>12571</v>
      </c>
      <c r="D236" s="7">
        <v>7400</v>
      </c>
      <c r="F236" s="512" t="s">
        <v>12374</v>
      </c>
      <c r="H236" s="1"/>
      <c r="J236" s="1"/>
    </row>
    <row r="237" spans="1:10">
      <c r="A237" s="512" t="s">
        <v>815</v>
      </c>
      <c r="B237" s="512" t="s">
        <v>12572</v>
      </c>
      <c r="C237" s="1" t="s">
        <v>12573</v>
      </c>
      <c r="D237" s="7">
        <v>6509</v>
      </c>
      <c r="F237" s="512" t="s">
        <v>12374</v>
      </c>
      <c r="H237" s="1"/>
      <c r="J237" s="1"/>
    </row>
    <row r="238" spans="1:10">
      <c r="A238" s="512" t="s">
        <v>816</v>
      </c>
      <c r="B238" s="512" t="s">
        <v>12574</v>
      </c>
      <c r="C238" s="1" t="s">
        <v>12575</v>
      </c>
      <c r="D238" s="7">
        <v>7371</v>
      </c>
      <c r="F238" s="512" t="s">
        <v>12373</v>
      </c>
      <c r="H238" s="1"/>
      <c r="J238" s="1"/>
    </row>
    <row r="239" spans="1:10">
      <c r="A239" s="512" t="s">
        <v>826</v>
      </c>
      <c r="B239" s="512" t="s">
        <v>12576</v>
      </c>
      <c r="C239" s="1" t="s">
        <v>12577</v>
      </c>
      <c r="D239" s="7">
        <v>7674</v>
      </c>
      <c r="F239" s="512" t="s">
        <v>12374</v>
      </c>
      <c r="H239" s="1"/>
      <c r="J239" s="1"/>
    </row>
    <row r="240" spans="1:10">
      <c r="A240" s="512" t="s">
        <v>827</v>
      </c>
      <c r="B240" s="512" t="s">
        <v>12578</v>
      </c>
      <c r="C240" s="1" t="s">
        <v>12579</v>
      </c>
      <c r="D240" s="7">
        <v>7798</v>
      </c>
      <c r="F240" s="512" t="s">
        <v>12373</v>
      </c>
      <c r="H240" s="1"/>
      <c r="J240" s="1"/>
    </row>
    <row r="241" spans="1:10">
      <c r="A241" s="512" t="s">
        <v>828</v>
      </c>
      <c r="B241" s="512" t="s">
        <v>5683</v>
      </c>
      <c r="C241" s="1" t="s">
        <v>12580</v>
      </c>
      <c r="D241" s="7">
        <v>7819</v>
      </c>
      <c r="F241" s="512" t="s">
        <v>12374</v>
      </c>
      <c r="H241" s="1"/>
      <c r="J241" s="1"/>
    </row>
    <row r="242" spans="1:10">
      <c r="A242" s="512" t="s">
        <v>829</v>
      </c>
      <c r="B242" s="512" t="s">
        <v>12581</v>
      </c>
      <c r="C242" s="1" t="s">
        <v>12582</v>
      </c>
      <c r="D242" s="7">
        <v>7410</v>
      </c>
      <c r="F242" s="512" t="s">
        <v>12365</v>
      </c>
      <c r="H242" s="1"/>
      <c r="J242" s="1"/>
    </row>
    <row r="243" spans="1:10">
      <c r="A243" s="512" t="s">
        <v>830</v>
      </c>
      <c r="B243" s="512" t="s">
        <v>12583</v>
      </c>
      <c r="C243" s="1" t="s">
        <v>12584</v>
      </c>
      <c r="D243" s="8">
        <v>6804</v>
      </c>
      <c r="F243" s="512" t="s">
        <v>12374</v>
      </c>
      <c r="H243" s="1"/>
      <c r="J243" s="1"/>
    </row>
    <row r="244" spans="1:10">
      <c r="A244" s="512" t="s">
        <v>831</v>
      </c>
      <c r="B244" s="512" t="s">
        <v>12585</v>
      </c>
      <c r="C244" s="1" t="s">
        <v>12586</v>
      </c>
      <c r="D244" s="8">
        <v>7582</v>
      </c>
      <c r="F244" s="512" t="s">
        <v>12365</v>
      </c>
      <c r="H244" s="1"/>
      <c r="J244" s="1"/>
    </row>
    <row r="245" spans="1:10">
      <c r="A245" s="512" t="s">
        <v>832</v>
      </c>
      <c r="B245" s="512" t="s">
        <v>12587</v>
      </c>
      <c r="C245" s="1" t="s">
        <v>12588</v>
      </c>
      <c r="D245" s="7">
        <v>7505</v>
      </c>
      <c r="F245" s="512" t="s">
        <v>12374</v>
      </c>
      <c r="H245" s="1"/>
      <c r="J245" s="1"/>
    </row>
    <row r="246" spans="1:10">
      <c r="A246" s="512" t="s">
        <v>833</v>
      </c>
      <c r="B246" s="512" t="s">
        <v>12589</v>
      </c>
      <c r="C246" s="1" t="s">
        <v>12590</v>
      </c>
      <c r="D246" s="7">
        <v>7164</v>
      </c>
      <c r="F246" s="512" t="s">
        <v>12374</v>
      </c>
      <c r="H246" s="1"/>
      <c r="J246" s="1"/>
    </row>
    <row r="247" spans="1:10">
      <c r="A247" s="512" t="s">
        <v>834</v>
      </c>
      <c r="B247" s="512" t="s">
        <v>12591</v>
      </c>
      <c r="C247" s="1" t="s">
        <v>12592</v>
      </c>
      <c r="D247" s="7">
        <v>7462</v>
      </c>
      <c r="F247" s="512" t="s">
        <v>12373</v>
      </c>
      <c r="H247" s="1"/>
      <c r="J247" s="1"/>
    </row>
    <row r="248" spans="1:10">
      <c r="A248" s="512" t="s">
        <v>835</v>
      </c>
      <c r="B248" s="512" t="s">
        <v>12593</v>
      </c>
      <c r="C248" s="1" t="s">
        <v>12594</v>
      </c>
      <c r="D248" s="8">
        <v>7344</v>
      </c>
      <c r="F248" s="512" t="s">
        <v>12365</v>
      </c>
      <c r="H248" s="1"/>
      <c r="J248" s="1"/>
    </row>
    <row r="249" spans="1:10">
      <c r="A249" s="512" t="s">
        <v>836</v>
      </c>
      <c r="B249" s="512" t="s">
        <v>12595</v>
      </c>
      <c r="C249" s="1" t="s">
        <v>12596</v>
      </c>
      <c r="D249" s="7">
        <v>7631</v>
      </c>
      <c r="F249" s="512" t="s">
        <v>12373</v>
      </c>
      <c r="H249" s="1"/>
      <c r="J249" s="1"/>
    </row>
    <row r="250" spans="1:10">
      <c r="A250" s="512" t="s">
        <v>837</v>
      </c>
      <c r="B250" s="512" t="s">
        <v>12597</v>
      </c>
      <c r="C250" s="1" t="s">
        <v>12598</v>
      </c>
      <c r="D250" s="8">
        <v>7390</v>
      </c>
      <c r="F250" s="512" t="s">
        <v>12374</v>
      </c>
      <c r="H250" s="1"/>
      <c r="J250" s="1"/>
    </row>
    <row r="251" spans="1:10">
      <c r="A251" s="512" t="s">
        <v>838</v>
      </c>
      <c r="B251" s="512" t="s">
        <v>12599</v>
      </c>
      <c r="C251" s="1" t="s">
        <v>12600</v>
      </c>
      <c r="D251" s="8">
        <v>7362</v>
      </c>
      <c r="F251" s="512" t="s">
        <v>12365</v>
      </c>
      <c r="H251" s="1"/>
      <c r="J251" s="1"/>
    </row>
    <row r="252" spans="1:10">
      <c r="A252" s="512" t="s">
        <v>840</v>
      </c>
      <c r="B252" s="512" t="s">
        <v>12601</v>
      </c>
      <c r="C252" s="1" t="s">
        <v>12602</v>
      </c>
      <c r="D252" s="7">
        <v>8139</v>
      </c>
      <c r="F252" s="512" t="s">
        <v>12374</v>
      </c>
      <c r="H252" s="1"/>
      <c r="J252" s="1"/>
    </row>
    <row r="253" spans="1:10">
      <c r="A253" s="512" t="s">
        <v>841</v>
      </c>
      <c r="B253" s="512" t="s">
        <v>12603</v>
      </c>
      <c r="C253" s="1" t="s">
        <v>12604</v>
      </c>
      <c r="D253" s="7">
        <v>8033</v>
      </c>
      <c r="F253" s="512" t="s">
        <v>12373</v>
      </c>
      <c r="H253" s="1"/>
      <c r="J253" s="1"/>
    </row>
    <row r="254" spans="1:10">
      <c r="D254" s="714"/>
    </row>
    <row r="255" spans="1:10">
      <c r="A255" s="512" t="s">
        <v>12365</v>
      </c>
      <c r="D255" s="713">
        <f>D234+D242+D244+D248+D251</f>
        <v>36334</v>
      </c>
    </row>
    <row r="256" spans="1:10">
      <c r="A256" s="512" t="s">
        <v>12456</v>
      </c>
      <c r="D256" s="713">
        <f>D238+D240+D247+D249+D253</f>
        <v>38295</v>
      </c>
    </row>
    <row r="257" spans="1:10">
      <c r="A257" s="512" t="s">
        <v>12374</v>
      </c>
      <c r="D257" s="713">
        <f>SUM(D235:D237)+D239+D241+D243+D245+D246+D250+D252</f>
        <v>73781</v>
      </c>
    </row>
    <row r="258" spans="1:10">
      <c r="A258" s="512"/>
      <c r="D258" s="713"/>
    </row>
    <row r="259" spans="1:10">
      <c r="A259" s="711" t="s">
        <v>12605</v>
      </c>
    </row>
    <row r="262" spans="1:10">
      <c r="D262" s="10" t="s">
        <v>285</v>
      </c>
      <c r="E262" s="16"/>
      <c r="F262" s="38" t="s">
        <v>4116</v>
      </c>
    </row>
    <row r="263" spans="1:10">
      <c r="D263" s="15">
        <v>2016</v>
      </c>
      <c r="F263" s="18" t="s">
        <v>286</v>
      </c>
    </row>
    <row r="264" spans="1:10">
      <c r="A264" s="512" t="s">
        <v>12606</v>
      </c>
      <c r="D264" s="713">
        <f t="shared" ref="D264" si="51">SUM(D265:D284)</f>
        <v>162645</v>
      </c>
    </row>
    <row r="265" spans="1:10">
      <c r="A265" s="512" t="s">
        <v>812</v>
      </c>
      <c r="B265" s="512" t="s">
        <v>5408</v>
      </c>
      <c r="C265" s="1" t="s">
        <v>12607</v>
      </c>
      <c r="D265" s="7">
        <v>8341</v>
      </c>
      <c r="F265" s="512" t="s">
        <v>12380</v>
      </c>
    </row>
    <row r="266" spans="1:10">
      <c r="A266" s="512" t="s">
        <v>813</v>
      </c>
      <c r="B266" s="512" t="s">
        <v>12608</v>
      </c>
      <c r="C266" s="1" t="s">
        <v>12609</v>
      </c>
      <c r="D266" s="7">
        <v>7459</v>
      </c>
      <c r="F266" s="512" t="s">
        <v>12380</v>
      </c>
    </row>
    <row r="267" spans="1:10">
      <c r="A267" s="512" t="s">
        <v>814</v>
      </c>
      <c r="B267" s="512" t="s">
        <v>12253</v>
      </c>
      <c r="C267" s="1" t="s">
        <v>12610</v>
      </c>
      <c r="D267" s="7">
        <v>8412</v>
      </c>
      <c r="F267" s="512" t="s">
        <v>12352</v>
      </c>
    </row>
    <row r="268" spans="1:10">
      <c r="A268" s="512" t="s">
        <v>815</v>
      </c>
      <c r="B268" s="512" t="s">
        <v>12611</v>
      </c>
      <c r="C268" s="1" t="s">
        <v>12612</v>
      </c>
      <c r="D268" s="7">
        <v>8015</v>
      </c>
      <c r="F268" s="512" t="s">
        <v>12380</v>
      </c>
      <c r="H268" s="1"/>
      <c r="J268" s="1"/>
    </row>
    <row r="269" spans="1:10">
      <c r="A269" s="512" t="s">
        <v>816</v>
      </c>
      <c r="B269" s="512" t="s">
        <v>12613</v>
      </c>
      <c r="C269" s="1" t="s">
        <v>12614</v>
      </c>
      <c r="D269" s="7">
        <v>8117</v>
      </c>
      <c r="F269" s="512" t="s">
        <v>12375</v>
      </c>
      <c r="H269" s="1"/>
      <c r="J269" s="1"/>
    </row>
    <row r="270" spans="1:10">
      <c r="A270" s="512" t="s">
        <v>826</v>
      </c>
      <c r="B270" s="512" t="s">
        <v>12615</v>
      </c>
      <c r="C270" s="1" t="s">
        <v>12616</v>
      </c>
      <c r="D270" s="7">
        <v>8514</v>
      </c>
      <c r="F270" s="512" t="s">
        <v>12375</v>
      </c>
      <c r="H270" s="1"/>
      <c r="J270" s="1"/>
    </row>
    <row r="271" spans="1:10">
      <c r="A271" s="512" t="s">
        <v>827</v>
      </c>
      <c r="B271" s="512" t="s">
        <v>12617</v>
      </c>
      <c r="C271" s="1" t="s">
        <v>12618</v>
      </c>
      <c r="D271" s="7">
        <v>6885</v>
      </c>
      <c r="F271" s="512" t="s">
        <v>12380</v>
      </c>
      <c r="H271" s="1"/>
      <c r="J271" s="1"/>
    </row>
    <row r="272" spans="1:10">
      <c r="A272" s="512" t="s">
        <v>828</v>
      </c>
      <c r="B272" s="512" t="s">
        <v>12619</v>
      </c>
      <c r="C272" s="1" t="s">
        <v>12620</v>
      </c>
      <c r="D272" s="7">
        <v>6439</v>
      </c>
      <c r="F272" s="512" t="s">
        <v>12375</v>
      </c>
      <c r="H272" s="1"/>
      <c r="J272" s="1"/>
    </row>
    <row r="273" spans="1:10">
      <c r="A273" s="512" t="s">
        <v>829</v>
      </c>
      <c r="B273" s="512" t="s">
        <v>12621</v>
      </c>
      <c r="C273" s="1" t="s">
        <v>12622</v>
      </c>
      <c r="D273" s="7">
        <v>7756</v>
      </c>
      <c r="F273" s="512" t="s">
        <v>12352</v>
      </c>
      <c r="H273" s="1"/>
      <c r="J273" s="1"/>
    </row>
    <row r="274" spans="1:10">
      <c r="A274" s="512" t="s">
        <v>830</v>
      </c>
      <c r="B274" s="512" t="s">
        <v>12623</v>
      </c>
      <c r="C274" s="1" t="s">
        <v>12624</v>
      </c>
      <c r="D274" s="7">
        <v>8058</v>
      </c>
      <c r="F274" s="512" t="s">
        <v>12375</v>
      </c>
      <c r="H274" s="1"/>
      <c r="J274" s="1"/>
    </row>
    <row r="275" spans="1:10">
      <c r="A275" s="512" t="s">
        <v>831</v>
      </c>
      <c r="B275" s="512" t="s">
        <v>12625</v>
      </c>
      <c r="C275" s="1" t="s">
        <v>12626</v>
      </c>
      <c r="D275" s="8">
        <v>8790</v>
      </c>
      <c r="F275" s="512" t="s">
        <v>12380</v>
      </c>
      <c r="H275" s="1"/>
      <c r="J275" s="1"/>
    </row>
    <row r="276" spans="1:10">
      <c r="A276" s="512" t="s">
        <v>832</v>
      </c>
      <c r="B276" s="512" t="s">
        <v>12627</v>
      </c>
      <c r="C276" s="1" t="s">
        <v>12628</v>
      </c>
      <c r="D276" s="7">
        <v>9482</v>
      </c>
      <c r="F276" s="512" t="s">
        <v>12375</v>
      </c>
      <c r="H276" s="1"/>
      <c r="J276" s="1"/>
    </row>
    <row r="277" spans="1:10">
      <c r="A277" s="512" t="s">
        <v>833</v>
      </c>
      <c r="B277" s="512" t="s">
        <v>12629</v>
      </c>
      <c r="C277" s="1" t="s">
        <v>12630</v>
      </c>
      <c r="D277" s="7">
        <v>8786</v>
      </c>
      <c r="F277" s="512" t="s">
        <v>12375</v>
      </c>
      <c r="H277" s="1"/>
      <c r="J277" s="1"/>
    </row>
    <row r="278" spans="1:10">
      <c r="A278" s="512" t="s">
        <v>834</v>
      </c>
      <c r="B278" s="512" t="s">
        <v>12631</v>
      </c>
      <c r="C278" s="1" t="s">
        <v>12632</v>
      </c>
      <c r="D278" s="7">
        <v>8269</v>
      </c>
      <c r="F278" s="512" t="s">
        <v>12375</v>
      </c>
      <c r="H278" s="1"/>
      <c r="J278" s="1"/>
    </row>
    <row r="279" spans="1:10">
      <c r="A279" s="512" t="s">
        <v>835</v>
      </c>
      <c r="B279" s="512" t="s">
        <v>12633</v>
      </c>
      <c r="C279" s="1" t="s">
        <v>12634</v>
      </c>
      <c r="D279" s="7">
        <v>8125</v>
      </c>
      <c r="F279" s="512" t="s">
        <v>12375</v>
      </c>
      <c r="H279" s="1"/>
      <c r="J279" s="1"/>
    </row>
    <row r="280" spans="1:10">
      <c r="A280" s="512" t="s">
        <v>836</v>
      </c>
      <c r="B280" s="512" t="s">
        <v>12635</v>
      </c>
      <c r="C280" s="1" t="s">
        <v>12636</v>
      </c>
      <c r="D280" s="8">
        <v>8433</v>
      </c>
      <c r="F280" s="512" t="s">
        <v>12380</v>
      </c>
      <c r="H280" s="1"/>
      <c r="J280" s="1"/>
    </row>
    <row r="281" spans="1:10">
      <c r="A281" s="512" t="s">
        <v>837</v>
      </c>
      <c r="B281" s="512" t="s">
        <v>12637</v>
      </c>
      <c r="C281" s="1" t="s">
        <v>12638</v>
      </c>
      <c r="D281" s="8">
        <v>7884</v>
      </c>
      <c r="F281" s="512" t="s">
        <v>12380</v>
      </c>
      <c r="H281" s="1"/>
      <c r="J281" s="1"/>
    </row>
    <row r="282" spans="1:10">
      <c r="A282" s="512" t="s">
        <v>838</v>
      </c>
      <c r="B282" s="512" t="s">
        <v>12639</v>
      </c>
      <c r="C282" s="1" t="s">
        <v>12640</v>
      </c>
      <c r="D282" s="7">
        <v>8371</v>
      </c>
      <c r="F282" s="512" t="s">
        <v>12375</v>
      </c>
      <c r="H282" s="1"/>
      <c r="J282" s="1"/>
    </row>
    <row r="283" spans="1:10">
      <c r="A283" s="512" t="s">
        <v>840</v>
      </c>
      <c r="B283" s="512" t="s">
        <v>12641</v>
      </c>
      <c r="C283" s="1" t="s">
        <v>12642</v>
      </c>
      <c r="D283" s="8">
        <v>8368</v>
      </c>
      <c r="F283" s="512" t="s">
        <v>12380</v>
      </c>
      <c r="H283" s="1"/>
      <c r="J283" s="1"/>
    </row>
    <row r="284" spans="1:10">
      <c r="A284" s="512" t="s">
        <v>841</v>
      </c>
      <c r="B284" s="512" t="s">
        <v>12643</v>
      </c>
      <c r="C284" s="1" t="s">
        <v>12644</v>
      </c>
      <c r="D284" s="8">
        <v>8141</v>
      </c>
      <c r="F284" s="512" t="s">
        <v>12380</v>
      </c>
      <c r="H284" s="1"/>
      <c r="J284" s="1"/>
    </row>
    <row r="285" spans="1:10">
      <c r="D285" s="714"/>
    </row>
    <row r="286" spans="1:10">
      <c r="A286" s="512" t="s">
        <v>12521</v>
      </c>
      <c r="C286" s="721"/>
      <c r="D286" s="713">
        <f t="shared" ref="D286" si="52">D267+D273</f>
        <v>16168</v>
      </c>
      <c r="E286" s="721"/>
      <c r="F286" s="721"/>
      <c r="G286" s="721"/>
    </row>
    <row r="287" spans="1:10">
      <c r="A287" s="512" t="s">
        <v>12375</v>
      </c>
      <c r="C287" s="721"/>
      <c r="D287" s="713">
        <f t="shared" ref="D287" si="53">D269+D270+D272+D274+SUM(D276:D279)+D282</f>
        <v>74161</v>
      </c>
      <c r="E287" s="721"/>
      <c r="F287" s="721"/>
      <c r="G287" s="721"/>
    </row>
    <row r="288" spans="1:10">
      <c r="A288" s="512" t="s">
        <v>12380</v>
      </c>
      <c r="C288" s="721"/>
      <c r="D288" s="713">
        <f t="shared" ref="D288" si="54">D265+D266+D268+D271+D275+D280+D281+D283+D284</f>
        <v>72316</v>
      </c>
      <c r="E288" s="721"/>
      <c r="F288" s="721"/>
      <c r="G288" s="721"/>
    </row>
    <row r="289" spans="1:10">
      <c r="A289" s="512"/>
      <c r="C289" s="721"/>
      <c r="D289" s="713"/>
      <c r="E289" s="721"/>
      <c r="F289" s="721"/>
      <c r="G289" s="721"/>
    </row>
    <row r="290" spans="1:10">
      <c r="A290" s="711" t="s">
        <v>12645</v>
      </c>
      <c r="C290" s="721"/>
      <c r="E290" s="721"/>
      <c r="F290" s="721"/>
      <c r="G290" s="721"/>
    </row>
    <row r="293" spans="1:10">
      <c r="D293" s="10" t="s">
        <v>285</v>
      </c>
      <c r="E293" s="16"/>
      <c r="F293" s="38" t="s">
        <v>4116</v>
      </c>
    </row>
    <row r="294" spans="1:10">
      <c r="D294" s="15">
        <v>2016</v>
      </c>
      <c r="F294" s="18" t="s">
        <v>286</v>
      </c>
    </row>
    <row r="295" spans="1:10">
      <c r="A295" s="512" t="s">
        <v>12646</v>
      </c>
      <c r="C295" s="721"/>
      <c r="D295" s="713">
        <f t="shared" ref="D295" si="55">SUM(D296:D316)</f>
        <v>211848</v>
      </c>
      <c r="E295" s="721"/>
      <c r="F295" s="721"/>
    </row>
    <row r="296" spans="1:10">
      <c r="A296" s="512" t="s">
        <v>812</v>
      </c>
      <c r="B296" s="512" t="s">
        <v>12647</v>
      </c>
      <c r="C296" s="1" t="s">
        <v>12648</v>
      </c>
      <c r="D296" s="7">
        <v>10263</v>
      </c>
      <c r="F296" s="512" t="s">
        <v>11702</v>
      </c>
    </row>
    <row r="297" spans="1:10">
      <c r="A297" s="512" t="s">
        <v>813</v>
      </c>
      <c r="B297" s="512" t="s">
        <v>12649</v>
      </c>
      <c r="C297" s="1" t="s">
        <v>12650</v>
      </c>
      <c r="D297" s="7">
        <v>9589</v>
      </c>
      <c r="F297" s="512" t="s">
        <v>11702</v>
      </c>
    </row>
    <row r="298" spans="1:10">
      <c r="A298" s="512" t="s">
        <v>814</v>
      </c>
      <c r="B298" s="512" t="s">
        <v>12651</v>
      </c>
      <c r="C298" s="1" t="s">
        <v>12652</v>
      </c>
      <c r="D298" s="7">
        <v>10358</v>
      </c>
      <c r="F298" s="512" t="s">
        <v>12371</v>
      </c>
    </row>
    <row r="299" spans="1:10">
      <c r="A299" s="512" t="s">
        <v>815</v>
      </c>
      <c r="B299" s="512" t="s">
        <v>12653</v>
      </c>
      <c r="C299" s="1" t="s">
        <v>12654</v>
      </c>
      <c r="D299" s="7">
        <v>10615</v>
      </c>
      <c r="F299" s="512" t="s">
        <v>12371</v>
      </c>
      <c r="H299" s="1"/>
      <c r="J299" s="1"/>
    </row>
    <row r="300" spans="1:10">
      <c r="A300" s="512" t="s">
        <v>816</v>
      </c>
      <c r="B300" s="512" t="s">
        <v>12655</v>
      </c>
      <c r="C300" s="1" t="s">
        <v>12656</v>
      </c>
      <c r="D300" s="8">
        <v>9611</v>
      </c>
      <c r="F300" s="512" t="s">
        <v>12376</v>
      </c>
      <c r="H300" s="1"/>
      <c r="J300" s="1"/>
    </row>
    <row r="301" spans="1:10">
      <c r="A301" s="512" t="s">
        <v>826</v>
      </c>
      <c r="B301" s="512" t="s">
        <v>12657</v>
      </c>
      <c r="C301" s="1" t="s">
        <v>12658</v>
      </c>
      <c r="D301" s="7">
        <v>11434</v>
      </c>
      <c r="F301" s="512" t="s">
        <v>12377</v>
      </c>
      <c r="H301" s="1"/>
      <c r="J301" s="1"/>
    </row>
    <row r="302" spans="1:10">
      <c r="A302" s="512" t="s">
        <v>827</v>
      </c>
      <c r="B302" s="512" t="s">
        <v>12659</v>
      </c>
      <c r="C302" s="1" t="s">
        <v>12660</v>
      </c>
      <c r="D302" s="7">
        <v>9682</v>
      </c>
      <c r="F302" s="512" t="s">
        <v>12377</v>
      </c>
      <c r="H302" s="1"/>
      <c r="J302" s="1"/>
    </row>
    <row r="303" spans="1:10">
      <c r="A303" s="512" t="s">
        <v>828</v>
      </c>
      <c r="B303" s="512" t="s">
        <v>12661</v>
      </c>
      <c r="C303" s="1" t="s">
        <v>12662</v>
      </c>
      <c r="D303" s="7">
        <v>10256</v>
      </c>
      <c r="F303" s="512" t="s">
        <v>12377</v>
      </c>
      <c r="H303" s="1"/>
      <c r="J303" s="1"/>
    </row>
    <row r="304" spans="1:10">
      <c r="A304" s="512" t="s">
        <v>829</v>
      </c>
      <c r="B304" s="512" t="s">
        <v>12663</v>
      </c>
      <c r="C304" s="1" t="s">
        <v>12664</v>
      </c>
      <c r="D304" s="8">
        <v>10249</v>
      </c>
      <c r="F304" s="512" t="s">
        <v>12377</v>
      </c>
      <c r="H304" s="1"/>
      <c r="J304" s="1"/>
    </row>
    <row r="305" spans="1:10">
      <c r="A305" s="512" t="s">
        <v>830</v>
      </c>
      <c r="B305" s="512" t="s">
        <v>12665</v>
      </c>
      <c r="C305" s="1" t="s">
        <v>12666</v>
      </c>
      <c r="D305" s="8">
        <v>10005</v>
      </c>
      <c r="F305" s="512" t="s">
        <v>12377</v>
      </c>
      <c r="H305" s="1"/>
      <c r="J305" s="1"/>
    </row>
    <row r="306" spans="1:10">
      <c r="A306" s="512" t="s">
        <v>831</v>
      </c>
      <c r="B306" s="512" t="s">
        <v>12667</v>
      </c>
      <c r="C306" s="1" t="s">
        <v>12668</v>
      </c>
      <c r="D306" s="7">
        <v>10488</v>
      </c>
      <c r="F306" s="512" t="s">
        <v>11702</v>
      </c>
      <c r="H306" s="1"/>
      <c r="J306" s="1"/>
    </row>
    <row r="307" spans="1:10">
      <c r="A307" s="512" t="s">
        <v>832</v>
      </c>
      <c r="B307" s="512" t="s">
        <v>12669</v>
      </c>
      <c r="C307" s="1" t="s">
        <v>12670</v>
      </c>
      <c r="D307" s="7">
        <v>9664</v>
      </c>
      <c r="F307" s="512" t="s">
        <v>12377</v>
      </c>
      <c r="H307" s="1"/>
      <c r="J307" s="1"/>
    </row>
    <row r="308" spans="1:10">
      <c r="A308" s="512" t="s">
        <v>833</v>
      </c>
      <c r="B308" s="512" t="s">
        <v>12671</v>
      </c>
      <c r="C308" s="1" t="s">
        <v>12672</v>
      </c>
      <c r="D308" s="8">
        <v>10269</v>
      </c>
      <c r="F308" s="512" t="s">
        <v>12376</v>
      </c>
      <c r="H308" s="1"/>
      <c r="J308" s="1"/>
    </row>
    <row r="309" spans="1:10">
      <c r="A309" s="512" t="s">
        <v>834</v>
      </c>
      <c r="B309" s="512" t="s">
        <v>12673</v>
      </c>
      <c r="C309" s="1" t="s">
        <v>12674</v>
      </c>
      <c r="D309" s="8">
        <v>10551</v>
      </c>
      <c r="F309" s="512" t="s">
        <v>12377</v>
      </c>
      <c r="H309" s="1"/>
      <c r="J309" s="1"/>
    </row>
    <row r="310" spans="1:10">
      <c r="A310" s="512" t="s">
        <v>835</v>
      </c>
      <c r="B310" s="512" t="s">
        <v>3050</v>
      </c>
      <c r="C310" s="1" t="s">
        <v>12675</v>
      </c>
      <c r="D310" s="8">
        <v>9979</v>
      </c>
      <c r="F310" s="512" t="s">
        <v>12376</v>
      </c>
      <c r="H310" s="1"/>
      <c r="J310" s="1"/>
    </row>
    <row r="311" spans="1:10">
      <c r="A311" s="512" t="s">
        <v>836</v>
      </c>
      <c r="B311" s="512" t="s">
        <v>12676</v>
      </c>
      <c r="C311" s="1" t="s">
        <v>12677</v>
      </c>
      <c r="D311" s="7">
        <v>9622</v>
      </c>
      <c r="F311" s="512" t="s">
        <v>12371</v>
      </c>
      <c r="H311" s="1"/>
      <c r="J311" s="1"/>
    </row>
    <row r="312" spans="1:10">
      <c r="A312" s="512" t="s">
        <v>837</v>
      </c>
      <c r="B312" s="512" t="s">
        <v>12678</v>
      </c>
      <c r="C312" s="1" t="s">
        <v>12679</v>
      </c>
      <c r="D312" s="7">
        <v>9619</v>
      </c>
      <c r="F312" s="512" t="s">
        <v>12371</v>
      </c>
      <c r="H312" s="1"/>
      <c r="J312" s="1"/>
    </row>
    <row r="313" spans="1:10">
      <c r="A313" s="512" t="s">
        <v>838</v>
      </c>
      <c r="B313" s="512" t="s">
        <v>12680</v>
      </c>
      <c r="C313" s="1" t="s">
        <v>12681</v>
      </c>
      <c r="D313" s="7">
        <v>10016</v>
      </c>
      <c r="F313" s="512" t="s">
        <v>11702</v>
      </c>
      <c r="H313" s="1"/>
      <c r="J313" s="1"/>
    </row>
    <row r="314" spans="1:10">
      <c r="A314" s="512" t="s">
        <v>840</v>
      </c>
      <c r="B314" s="512" t="s">
        <v>12682</v>
      </c>
      <c r="C314" s="1" t="s">
        <v>12683</v>
      </c>
      <c r="D314" s="7">
        <v>10018</v>
      </c>
      <c r="F314" s="512" t="s">
        <v>12376</v>
      </c>
      <c r="H314" s="1"/>
      <c r="J314" s="1"/>
    </row>
    <row r="315" spans="1:10">
      <c r="A315" s="512" t="s">
        <v>841</v>
      </c>
      <c r="B315" s="512" t="s">
        <v>12684</v>
      </c>
      <c r="C315" s="1" t="s">
        <v>12685</v>
      </c>
      <c r="D315" s="7">
        <v>9919</v>
      </c>
      <c r="F315" s="512" t="s">
        <v>12376</v>
      </c>
      <c r="H315" s="1"/>
      <c r="J315" s="1"/>
    </row>
    <row r="316" spans="1:10">
      <c r="A316" s="512" t="s">
        <v>878</v>
      </c>
      <c r="B316" s="512" t="s">
        <v>12686</v>
      </c>
      <c r="C316" s="1" t="s">
        <v>12687</v>
      </c>
      <c r="D316" s="7">
        <v>9641</v>
      </c>
      <c r="F316" s="512" t="s">
        <v>11702</v>
      </c>
      <c r="H316" s="1"/>
      <c r="J316" s="1"/>
    </row>
    <row r="317" spans="1:10">
      <c r="D317" s="714"/>
    </row>
    <row r="318" spans="1:10">
      <c r="A318" s="512" t="s">
        <v>11824</v>
      </c>
      <c r="D318" s="713">
        <f>D296+D297+D306+D313+D316</f>
        <v>49997</v>
      </c>
    </row>
    <row r="319" spans="1:10">
      <c r="A319" s="512" t="s">
        <v>12688</v>
      </c>
      <c r="D319" s="713">
        <f>D298+D299+D311+D312</f>
        <v>40214</v>
      </c>
    </row>
    <row r="320" spans="1:10">
      <c r="A320" s="512" t="s">
        <v>12689</v>
      </c>
      <c r="D320" s="713">
        <f>D300+D308+D310+D314+D315</f>
        <v>49796</v>
      </c>
      <c r="E320" s="713"/>
    </row>
    <row r="321" spans="1:10">
      <c r="A321" s="512" t="s">
        <v>12377</v>
      </c>
      <c r="D321" s="713">
        <f>SUM(D301:D305)+D307+D309</f>
        <v>71841</v>
      </c>
      <c r="E321" s="713"/>
    </row>
    <row r="322" spans="1:10">
      <c r="A322" s="512"/>
      <c r="D322" s="713"/>
    </row>
    <row r="323" spans="1:10">
      <c r="A323" s="711" t="s">
        <v>12690</v>
      </c>
    </row>
    <row r="324" spans="1:10">
      <c r="A324" s="512"/>
      <c r="B324" s="512"/>
      <c r="D324" s="721"/>
    </row>
    <row r="325" spans="1:10">
      <c r="A325" s="512"/>
      <c r="B325" s="512"/>
      <c r="D325" s="721"/>
    </row>
    <row r="326" spans="1:10">
      <c r="D326" s="10" t="s">
        <v>285</v>
      </c>
      <c r="E326" s="16"/>
      <c r="F326" s="38" t="s">
        <v>4116</v>
      </c>
    </row>
    <row r="327" spans="1:10">
      <c r="D327" s="15">
        <v>2016</v>
      </c>
      <c r="F327" s="18" t="s">
        <v>286</v>
      </c>
    </row>
    <row r="328" spans="1:10">
      <c r="A328" s="512" t="s">
        <v>12691</v>
      </c>
      <c r="D328" s="713">
        <f t="shared" ref="D328" si="56">SUM(D329:D347)</f>
        <v>163976</v>
      </c>
    </row>
    <row r="329" spans="1:10">
      <c r="A329" s="512" t="s">
        <v>812</v>
      </c>
      <c r="B329" s="512" t="s">
        <v>12692</v>
      </c>
      <c r="C329" s="1" t="s">
        <v>12693</v>
      </c>
      <c r="D329" s="7">
        <v>8561</v>
      </c>
      <c r="F329" s="512" t="s">
        <v>12350</v>
      </c>
      <c r="H329" s="1"/>
      <c r="J329" s="1"/>
    </row>
    <row r="330" spans="1:10">
      <c r="A330" s="512" t="s">
        <v>813</v>
      </c>
      <c r="B330" s="512" t="s">
        <v>12694</v>
      </c>
      <c r="C330" s="1" t="s">
        <v>12695</v>
      </c>
      <c r="D330" s="7">
        <v>8157</v>
      </c>
      <c r="F330" s="512" t="s">
        <v>12350</v>
      </c>
      <c r="H330" s="1"/>
      <c r="J330" s="1"/>
    </row>
    <row r="331" spans="1:10">
      <c r="A331" s="512" t="s">
        <v>814</v>
      </c>
      <c r="B331" s="512" t="s">
        <v>12696</v>
      </c>
      <c r="C331" s="1" t="s">
        <v>12697</v>
      </c>
      <c r="D331" s="7">
        <v>8338</v>
      </c>
      <c r="F331" s="512" t="s">
        <v>12350</v>
      </c>
      <c r="H331" s="1"/>
      <c r="J331" s="1"/>
    </row>
    <row r="332" spans="1:10">
      <c r="A332" s="512" t="s">
        <v>815</v>
      </c>
      <c r="B332" s="512" t="s">
        <v>12698</v>
      </c>
      <c r="C332" s="1" t="s">
        <v>12699</v>
      </c>
      <c r="D332" s="7">
        <v>9165</v>
      </c>
      <c r="F332" s="512" t="s">
        <v>12361</v>
      </c>
      <c r="H332" s="1"/>
      <c r="J332" s="1"/>
    </row>
    <row r="333" spans="1:10">
      <c r="A333" s="512" t="s">
        <v>816</v>
      </c>
      <c r="B333" s="512" t="s">
        <v>12700</v>
      </c>
      <c r="C333" s="1" t="s">
        <v>12701</v>
      </c>
      <c r="D333" s="7">
        <v>8325</v>
      </c>
      <c r="F333" s="512" t="s">
        <v>12376</v>
      </c>
      <c r="H333" s="1"/>
      <c r="J333" s="1"/>
    </row>
    <row r="334" spans="1:10">
      <c r="A334" s="512" t="s">
        <v>826</v>
      </c>
      <c r="B334" s="512" t="s">
        <v>12702</v>
      </c>
      <c r="C334" s="1" t="s">
        <v>12703</v>
      </c>
      <c r="D334" s="7">
        <v>8156</v>
      </c>
      <c r="F334" s="512" t="s">
        <v>12376</v>
      </c>
      <c r="H334" s="1"/>
      <c r="J334" s="1"/>
    </row>
    <row r="335" spans="1:10">
      <c r="A335" s="512" t="s">
        <v>827</v>
      </c>
      <c r="B335" s="512" t="s">
        <v>12704</v>
      </c>
      <c r="C335" s="1" t="s">
        <v>12705</v>
      </c>
      <c r="D335" s="7">
        <v>9239</v>
      </c>
      <c r="F335" s="512" t="s">
        <v>12376</v>
      </c>
      <c r="H335" s="1"/>
      <c r="J335" s="1"/>
    </row>
    <row r="336" spans="1:10">
      <c r="A336" s="512" t="s">
        <v>828</v>
      </c>
      <c r="B336" s="512" t="s">
        <v>12706</v>
      </c>
      <c r="C336" s="1" t="s">
        <v>12707</v>
      </c>
      <c r="D336" s="7">
        <v>8705</v>
      </c>
      <c r="F336" s="512" t="s">
        <v>12361</v>
      </c>
      <c r="H336" s="1"/>
      <c r="J336" s="1"/>
    </row>
    <row r="337" spans="1:10">
      <c r="A337" s="512" t="s">
        <v>829</v>
      </c>
      <c r="B337" s="512" t="s">
        <v>12708</v>
      </c>
      <c r="C337" s="1" t="s">
        <v>12709</v>
      </c>
      <c r="D337" s="7">
        <v>8824</v>
      </c>
      <c r="F337" s="512" t="s">
        <v>12361</v>
      </c>
      <c r="H337" s="1"/>
      <c r="J337" s="1"/>
    </row>
    <row r="338" spans="1:10">
      <c r="A338" s="512" t="s">
        <v>830</v>
      </c>
      <c r="B338" s="512" t="s">
        <v>12710</v>
      </c>
      <c r="C338" s="1" t="s">
        <v>12711</v>
      </c>
      <c r="D338" s="7">
        <v>9046</v>
      </c>
      <c r="F338" s="512" t="s">
        <v>12350</v>
      </c>
      <c r="H338" s="1"/>
      <c r="J338" s="1"/>
    </row>
    <row r="339" spans="1:10">
      <c r="A339" s="512" t="s">
        <v>831</v>
      </c>
      <c r="B339" s="512" t="s">
        <v>12712</v>
      </c>
      <c r="C339" s="1" t="s">
        <v>12713</v>
      </c>
      <c r="D339" s="7">
        <v>8596</v>
      </c>
      <c r="F339" s="512" t="s">
        <v>12350</v>
      </c>
      <c r="H339" s="1"/>
      <c r="J339" s="1"/>
    </row>
    <row r="340" spans="1:10">
      <c r="A340" s="512" t="s">
        <v>832</v>
      </c>
      <c r="B340" s="512" t="s">
        <v>12714</v>
      </c>
      <c r="C340" s="1" t="s">
        <v>12715</v>
      </c>
      <c r="D340" s="7">
        <v>8436</v>
      </c>
      <c r="F340" s="512" t="s">
        <v>12371</v>
      </c>
      <c r="H340" s="1"/>
      <c r="J340" s="1"/>
    </row>
    <row r="341" spans="1:10">
      <c r="A341" s="512" t="s">
        <v>833</v>
      </c>
      <c r="B341" s="512" t="s">
        <v>12716</v>
      </c>
      <c r="C341" s="1" t="s">
        <v>12717</v>
      </c>
      <c r="D341" s="7">
        <v>9989</v>
      </c>
      <c r="F341" s="512" t="s">
        <v>12371</v>
      </c>
      <c r="H341" s="1"/>
      <c r="J341" s="1"/>
    </row>
    <row r="342" spans="1:10">
      <c r="A342" s="512" t="s">
        <v>834</v>
      </c>
      <c r="B342" s="512" t="s">
        <v>12718</v>
      </c>
      <c r="C342" s="1" t="s">
        <v>12719</v>
      </c>
      <c r="D342" s="7">
        <v>8514</v>
      </c>
      <c r="F342" s="512" t="s">
        <v>12371</v>
      </c>
      <c r="H342" s="1"/>
      <c r="J342" s="1"/>
    </row>
    <row r="343" spans="1:10">
      <c r="A343" s="512" t="s">
        <v>835</v>
      </c>
      <c r="B343" s="512" t="s">
        <v>12720</v>
      </c>
      <c r="C343" s="1" t="s">
        <v>12721</v>
      </c>
      <c r="D343" s="8">
        <v>7754</v>
      </c>
      <c r="F343" s="512" t="s">
        <v>12371</v>
      </c>
      <c r="H343" s="1"/>
      <c r="J343" s="1"/>
    </row>
    <row r="344" spans="1:10">
      <c r="A344" s="512" t="s">
        <v>836</v>
      </c>
      <c r="B344" s="512" t="s">
        <v>12722</v>
      </c>
      <c r="C344" s="1" t="s">
        <v>12723</v>
      </c>
      <c r="D344" s="8">
        <v>8485</v>
      </c>
      <c r="F344" s="512" t="s">
        <v>12350</v>
      </c>
      <c r="H344" s="1"/>
      <c r="J344" s="1"/>
    </row>
    <row r="345" spans="1:10">
      <c r="A345" s="512" t="s">
        <v>837</v>
      </c>
      <c r="B345" s="512" t="s">
        <v>1026</v>
      </c>
      <c r="C345" s="1" t="s">
        <v>12724</v>
      </c>
      <c r="D345" s="7">
        <v>8283</v>
      </c>
      <c r="F345" s="512" t="s">
        <v>12350</v>
      </c>
      <c r="H345" s="1"/>
      <c r="J345" s="1"/>
    </row>
    <row r="346" spans="1:10">
      <c r="A346" s="512" t="s">
        <v>838</v>
      </c>
      <c r="B346" s="512" t="s">
        <v>12725</v>
      </c>
      <c r="C346" s="1" t="s">
        <v>12726</v>
      </c>
      <c r="D346" s="8">
        <v>9086</v>
      </c>
      <c r="F346" s="512" t="s">
        <v>12350</v>
      </c>
      <c r="H346" s="1"/>
      <c r="J346" s="1"/>
    </row>
    <row r="347" spans="1:10">
      <c r="A347" s="512" t="s">
        <v>840</v>
      </c>
      <c r="B347" s="512" t="s">
        <v>12727</v>
      </c>
      <c r="C347" s="1" t="s">
        <v>12728</v>
      </c>
      <c r="D347" s="8">
        <v>8317</v>
      </c>
      <c r="F347" s="512" t="s">
        <v>12350</v>
      </c>
      <c r="H347" s="1"/>
      <c r="J347" s="1"/>
    </row>
    <row r="348" spans="1:10">
      <c r="D348" s="714"/>
    </row>
    <row r="349" spans="1:10">
      <c r="A349" s="512" t="s">
        <v>12350</v>
      </c>
      <c r="D349" s="713">
        <f>SUM(D329:D331)+D338+D339+SUM(D344:D347)</f>
        <v>76869</v>
      </c>
    </row>
    <row r="350" spans="1:10">
      <c r="A350" s="512" t="s">
        <v>12563</v>
      </c>
      <c r="D350" s="713">
        <f>D332+D336+D337</f>
        <v>26694</v>
      </c>
    </row>
    <row r="351" spans="1:10">
      <c r="A351" s="512" t="s">
        <v>12688</v>
      </c>
      <c r="D351" s="713">
        <f>SUM(D340:D343)</f>
        <v>34693</v>
      </c>
    </row>
    <row r="352" spans="1:10">
      <c r="A352" s="512" t="s">
        <v>12376</v>
      </c>
      <c r="D352" s="713">
        <f>SUM(D333:D335)</f>
        <v>25720</v>
      </c>
    </row>
    <row r="353" spans="1:10">
      <c r="A353" s="512"/>
      <c r="B353" s="512"/>
      <c r="D353" s="713"/>
    </row>
    <row r="354" spans="1:10" ht="15" customHeight="1">
      <c r="A354" s="711" t="s">
        <v>12729</v>
      </c>
    </row>
    <row r="357" spans="1:10">
      <c r="D357" s="10" t="s">
        <v>285</v>
      </c>
      <c r="E357" s="16"/>
      <c r="F357" s="38" t="s">
        <v>4116</v>
      </c>
    </row>
    <row r="358" spans="1:10">
      <c r="D358" s="15">
        <v>2016</v>
      </c>
      <c r="F358" s="18" t="s">
        <v>286</v>
      </c>
    </row>
    <row r="359" spans="1:10">
      <c r="A359" s="512" t="s">
        <v>12730</v>
      </c>
      <c r="D359" s="713">
        <f t="shared" ref="D359" si="57">SUM(D360:D380)</f>
        <v>159419</v>
      </c>
    </row>
    <row r="360" spans="1:10">
      <c r="A360" s="512" t="s">
        <v>812</v>
      </c>
      <c r="B360" s="512" t="s">
        <v>12731</v>
      </c>
      <c r="C360" s="1" t="s">
        <v>12732</v>
      </c>
      <c r="D360" s="7">
        <v>8160</v>
      </c>
      <c r="F360" s="512" t="s">
        <v>11699</v>
      </c>
    </row>
    <row r="361" spans="1:10">
      <c r="A361" s="512" t="s">
        <v>813</v>
      </c>
      <c r="B361" s="512" t="s">
        <v>12733</v>
      </c>
      <c r="C361" s="1" t="s">
        <v>12734</v>
      </c>
      <c r="D361" s="7">
        <v>7140</v>
      </c>
      <c r="F361" s="512" t="s">
        <v>12378</v>
      </c>
    </row>
    <row r="362" spans="1:10">
      <c r="A362" s="512" t="s">
        <v>814</v>
      </c>
      <c r="B362" s="512" t="s">
        <v>12735</v>
      </c>
      <c r="C362" s="1" t="s">
        <v>12736</v>
      </c>
      <c r="D362" s="7">
        <v>7073</v>
      </c>
      <c r="F362" s="512" t="s">
        <v>11699</v>
      </c>
    </row>
    <row r="363" spans="1:10">
      <c r="A363" s="512" t="s">
        <v>815</v>
      </c>
      <c r="B363" s="512" t="s">
        <v>1008</v>
      </c>
      <c r="C363" s="1" t="s">
        <v>12737</v>
      </c>
      <c r="D363" s="7">
        <v>9336</v>
      </c>
      <c r="F363" s="512" t="s">
        <v>11699</v>
      </c>
      <c r="H363" s="1"/>
      <c r="J363" s="1"/>
    </row>
    <row r="364" spans="1:10">
      <c r="A364" s="512" t="s">
        <v>816</v>
      </c>
      <c r="B364" s="512" t="s">
        <v>9848</v>
      </c>
      <c r="C364" s="1" t="s">
        <v>12738</v>
      </c>
      <c r="D364" s="8">
        <v>7672</v>
      </c>
      <c r="F364" s="512" t="s">
        <v>12381</v>
      </c>
      <c r="H364" s="1"/>
      <c r="J364" s="1"/>
    </row>
    <row r="365" spans="1:10">
      <c r="A365" s="512" t="s">
        <v>826</v>
      </c>
      <c r="B365" s="512" t="s">
        <v>12739</v>
      </c>
      <c r="C365" s="1" t="s">
        <v>12740</v>
      </c>
      <c r="D365" s="7">
        <v>6520</v>
      </c>
      <c r="F365" s="512" t="s">
        <v>11699</v>
      </c>
      <c r="H365" s="1"/>
      <c r="J365" s="1"/>
    </row>
    <row r="366" spans="1:10">
      <c r="A366" s="512" t="s">
        <v>827</v>
      </c>
      <c r="B366" s="512" t="s">
        <v>12741</v>
      </c>
      <c r="C366" s="1" t="s">
        <v>12742</v>
      </c>
      <c r="D366" s="7">
        <v>7004</v>
      </c>
      <c r="F366" s="512" t="s">
        <v>12378</v>
      </c>
      <c r="H366" s="1"/>
      <c r="J366" s="1"/>
    </row>
    <row r="367" spans="1:10">
      <c r="A367" s="512" t="s">
        <v>828</v>
      </c>
      <c r="B367" s="512" t="s">
        <v>12743</v>
      </c>
      <c r="C367" s="1" t="s">
        <v>12744</v>
      </c>
      <c r="D367" s="7">
        <v>7358</v>
      </c>
      <c r="F367" s="512" t="s">
        <v>12378</v>
      </c>
      <c r="H367" s="1"/>
      <c r="J367" s="1"/>
    </row>
    <row r="368" spans="1:10">
      <c r="A368" s="512" t="s">
        <v>829</v>
      </c>
      <c r="B368" s="512" t="s">
        <v>12745</v>
      </c>
      <c r="C368" s="1" t="s">
        <v>12746</v>
      </c>
      <c r="D368" s="7">
        <v>7413</v>
      </c>
      <c r="F368" s="512" t="s">
        <v>12378</v>
      </c>
      <c r="H368" s="1"/>
      <c r="J368" s="1"/>
    </row>
    <row r="369" spans="1:10">
      <c r="A369" s="512" t="s">
        <v>830</v>
      </c>
      <c r="B369" s="512" t="s">
        <v>12747</v>
      </c>
      <c r="C369" s="1" t="s">
        <v>12748</v>
      </c>
      <c r="D369" s="7">
        <v>8051</v>
      </c>
      <c r="F369" s="512" t="s">
        <v>12378</v>
      </c>
      <c r="H369" s="1"/>
      <c r="J369" s="1"/>
    </row>
    <row r="370" spans="1:10">
      <c r="A370" s="512" t="s">
        <v>831</v>
      </c>
      <c r="B370" s="512" t="s">
        <v>3920</v>
      </c>
      <c r="C370" s="1" t="s">
        <v>12749</v>
      </c>
      <c r="D370" s="7">
        <v>7454</v>
      </c>
      <c r="F370" s="512" t="s">
        <v>12378</v>
      </c>
      <c r="H370" s="1"/>
      <c r="J370" s="1"/>
    </row>
    <row r="371" spans="1:10">
      <c r="A371" s="512" t="s">
        <v>832</v>
      </c>
      <c r="B371" s="512" t="s">
        <v>12750</v>
      </c>
      <c r="C371" s="1" t="s">
        <v>12751</v>
      </c>
      <c r="D371" s="7">
        <v>7132</v>
      </c>
      <c r="F371" s="512" t="s">
        <v>11699</v>
      </c>
      <c r="H371" s="1"/>
      <c r="J371" s="1"/>
    </row>
    <row r="372" spans="1:10">
      <c r="A372" s="512" t="s">
        <v>833</v>
      </c>
      <c r="B372" s="512" t="s">
        <v>12752</v>
      </c>
      <c r="C372" s="1" t="s">
        <v>12753</v>
      </c>
      <c r="D372" s="7">
        <v>7084</v>
      </c>
      <c r="F372" s="512" t="s">
        <v>11699</v>
      </c>
      <c r="H372" s="1"/>
      <c r="J372" s="1"/>
    </row>
    <row r="373" spans="1:10">
      <c r="A373" s="512" t="s">
        <v>834</v>
      </c>
      <c r="B373" s="512" t="s">
        <v>3524</v>
      </c>
      <c r="C373" s="1" t="s">
        <v>12754</v>
      </c>
      <c r="D373" s="8">
        <v>8217</v>
      </c>
      <c r="F373" s="512" t="s">
        <v>12378</v>
      </c>
      <c r="H373" s="1"/>
      <c r="J373" s="1"/>
    </row>
    <row r="374" spans="1:10">
      <c r="A374" s="512" t="s">
        <v>835</v>
      </c>
      <c r="B374" s="512" t="s">
        <v>502</v>
      </c>
      <c r="C374" s="1" t="s">
        <v>12755</v>
      </c>
      <c r="D374" s="8">
        <v>7454</v>
      </c>
      <c r="F374" s="512" t="s">
        <v>12381</v>
      </c>
      <c r="H374" s="1"/>
      <c r="J374" s="1"/>
    </row>
    <row r="375" spans="1:10">
      <c r="A375" s="512" t="s">
        <v>836</v>
      </c>
      <c r="B375" s="512" t="s">
        <v>5043</v>
      </c>
      <c r="C375" s="1" t="s">
        <v>12756</v>
      </c>
      <c r="D375" s="8">
        <v>8060</v>
      </c>
      <c r="F375" s="512" t="s">
        <v>12378</v>
      </c>
      <c r="H375" s="1"/>
      <c r="J375" s="1"/>
    </row>
    <row r="376" spans="1:10">
      <c r="A376" s="512" t="s">
        <v>837</v>
      </c>
      <c r="B376" s="512" t="s">
        <v>12757</v>
      </c>
      <c r="C376" s="1" t="s">
        <v>12758</v>
      </c>
      <c r="D376" s="7">
        <v>7150</v>
      </c>
      <c r="F376" s="512" t="s">
        <v>12381</v>
      </c>
      <c r="H376" s="1"/>
      <c r="J376" s="1"/>
    </row>
    <row r="377" spans="1:10">
      <c r="A377" s="512" t="s">
        <v>838</v>
      </c>
      <c r="B377" s="512" t="s">
        <v>12759</v>
      </c>
      <c r="C377" s="1" t="s">
        <v>12760</v>
      </c>
      <c r="D377" s="8">
        <v>7300</v>
      </c>
      <c r="F377" s="512" t="s">
        <v>12378</v>
      </c>
      <c r="H377" s="1"/>
      <c r="J377" s="1"/>
    </row>
    <row r="378" spans="1:10">
      <c r="A378" s="512" t="s">
        <v>840</v>
      </c>
      <c r="B378" s="512" t="s">
        <v>12761</v>
      </c>
      <c r="C378" s="1" t="s">
        <v>12762</v>
      </c>
      <c r="D378" s="7">
        <v>8267</v>
      </c>
      <c r="F378" s="512" t="s">
        <v>11699</v>
      </c>
      <c r="H378" s="1"/>
      <c r="J378" s="1"/>
    </row>
    <row r="379" spans="1:10">
      <c r="A379" s="512" t="s">
        <v>841</v>
      </c>
      <c r="B379" s="512" t="s">
        <v>12763</v>
      </c>
      <c r="C379" s="1" t="s">
        <v>12764</v>
      </c>
      <c r="D379" s="8">
        <v>8107</v>
      </c>
      <c r="F379" s="512" t="s">
        <v>12378</v>
      </c>
      <c r="H379" s="1"/>
      <c r="J379" s="1"/>
    </row>
    <row r="380" spans="1:10">
      <c r="A380" s="512" t="s">
        <v>878</v>
      </c>
      <c r="B380" s="512" t="s">
        <v>6189</v>
      </c>
      <c r="C380" s="1" t="s">
        <v>12765</v>
      </c>
      <c r="D380" s="7">
        <v>7467</v>
      </c>
      <c r="F380" s="512" t="s">
        <v>11699</v>
      </c>
      <c r="H380" s="1"/>
      <c r="J380" s="1"/>
    </row>
    <row r="381" spans="1:10">
      <c r="D381" s="714"/>
    </row>
    <row r="382" spans="1:10">
      <c r="A382" s="512" t="s">
        <v>11823</v>
      </c>
      <c r="D382" s="713">
        <f>D360+D362+D363+D365+D371+D372+D378+D380</f>
        <v>61039</v>
      </c>
      <c r="E382" s="721"/>
    </row>
    <row r="383" spans="1:10">
      <c r="A383" s="512" t="s">
        <v>12378</v>
      </c>
      <c r="D383" s="713">
        <f>D361+SUM(D366:D370)+D373++D375+D377+D379</f>
        <v>76104</v>
      </c>
      <c r="E383" s="721"/>
    </row>
    <row r="384" spans="1:10">
      <c r="A384" s="512" t="s">
        <v>12523</v>
      </c>
      <c r="D384" s="713">
        <f t="shared" ref="D384" si="58">D364+D374+D376</f>
        <v>22276</v>
      </c>
      <c r="E384" s="721"/>
    </row>
    <row r="385" spans="1:10">
      <c r="A385" s="512"/>
      <c r="D385" s="713"/>
      <c r="E385" s="721"/>
    </row>
    <row r="386" spans="1:10">
      <c r="A386" s="711" t="s">
        <v>12766</v>
      </c>
      <c r="E386" s="721"/>
    </row>
    <row r="387" spans="1:10">
      <c r="A387" s="512"/>
      <c r="B387" s="512"/>
      <c r="D387" s="721"/>
      <c r="E387" s="721"/>
    </row>
    <row r="388" spans="1:10">
      <c r="A388" s="512"/>
      <c r="B388" s="512"/>
      <c r="D388" s="721"/>
      <c r="E388" s="721"/>
    </row>
    <row r="389" spans="1:10">
      <c r="D389" s="10" t="s">
        <v>285</v>
      </c>
      <c r="E389" s="16"/>
      <c r="F389" s="38" t="s">
        <v>4116</v>
      </c>
    </row>
    <row r="390" spans="1:10">
      <c r="D390" s="15">
        <v>2016</v>
      </c>
      <c r="F390" s="18" t="s">
        <v>286</v>
      </c>
    </row>
    <row r="391" spans="1:10">
      <c r="A391" s="512" t="s">
        <v>12767</v>
      </c>
      <c r="D391" s="713">
        <f t="shared" ref="D391" si="59">SUM(D392:D416)</f>
        <v>227997</v>
      </c>
      <c r="E391" s="721"/>
    </row>
    <row r="392" spans="1:10">
      <c r="A392" s="512" t="s">
        <v>812</v>
      </c>
      <c r="B392" s="512" t="s">
        <v>12768</v>
      </c>
      <c r="C392" s="1" t="s">
        <v>12769</v>
      </c>
      <c r="D392" s="7">
        <v>9935</v>
      </c>
      <c r="F392" s="512" t="s">
        <v>12367</v>
      </c>
      <c r="H392" s="1"/>
      <c r="J392" s="1"/>
    </row>
    <row r="393" spans="1:10">
      <c r="A393" s="512" t="s">
        <v>813</v>
      </c>
      <c r="B393" s="512" t="s">
        <v>12770</v>
      </c>
      <c r="C393" s="1" t="s">
        <v>12771</v>
      </c>
      <c r="D393" s="7">
        <v>8709</v>
      </c>
      <c r="F393" s="512" t="s">
        <v>12367</v>
      </c>
      <c r="H393" s="1"/>
      <c r="J393" s="1"/>
    </row>
    <row r="394" spans="1:10">
      <c r="A394" s="512" t="s">
        <v>814</v>
      </c>
      <c r="B394" s="512" t="s">
        <v>12772</v>
      </c>
      <c r="C394" s="1" t="s">
        <v>12773</v>
      </c>
      <c r="D394" s="8">
        <v>9681</v>
      </c>
      <c r="F394" s="512" t="s">
        <v>12379</v>
      </c>
      <c r="H394" s="1"/>
      <c r="J394" s="1"/>
    </row>
    <row r="395" spans="1:10">
      <c r="A395" s="512" t="s">
        <v>815</v>
      </c>
      <c r="B395" s="512" t="s">
        <v>12774</v>
      </c>
      <c r="C395" s="1" t="s">
        <v>12775</v>
      </c>
      <c r="D395" s="7">
        <v>9026</v>
      </c>
      <c r="F395" s="512" t="s">
        <v>12364</v>
      </c>
      <c r="H395" s="1"/>
      <c r="J395" s="1"/>
    </row>
    <row r="396" spans="1:10">
      <c r="A396" s="512" t="s">
        <v>816</v>
      </c>
      <c r="B396" s="512" t="s">
        <v>12776</v>
      </c>
      <c r="C396" s="1" t="s">
        <v>12777</v>
      </c>
      <c r="D396" s="7">
        <v>8007</v>
      </c>
      <c r="F396" s="512" t="s">
        <v>12364</v>
      </c>
      <c r="H396" s="1"/>
      <c r="J396" s="1"/>
    </row>
    <row r="397" spans="1:10">
      <c r="A397" s="512" t="s">
        <v>826</v>
      </c>
      <c r="B397" s="512" t="s">
        <v>12778</v>
      </c>
      <c r="C397" s="1" t="s">
        <v>12779</v>
      </c>
      <c r="D397" s="7">
        <v>10337</v>
      </c>
      <c r="F397" s="512" t="s">
        <v>12357</v>
      </c>
      <c r="H397" s="1"/>
      <c r="J397" s="1"/>
    </row>
    <row r="398" spans="1:10">
      <c r="A398" s="512" t="s">
        <v>827</v>
      </c>
      <c r="B398" s="512" t="s">
        <v>12780</v>
      </c>
      <c r="C398" s="1" t="s">
        <v>12781</v>
      </c>
      <c r="D398" s="7">
        <v>8746</v>
      </c>
      <c r="F398" s="512" t="s">
        <v>12367</v>
      </c>
      <c r="H398" s="1"/>
      <c r="J398" s="1"/>
    </row>
    <row r="399" spans="1:10">
      <c r="A399" s="512" t="s">
        <v>828</v>
      </c>
      <c r="B399" s="512" t="s">
        <v>12782</v>
      </c>
      <c r="C399" s="1" t="s">
        <v>12783</v>
      </c>
      <c r="D399" s="8">
        <v>9013</v>
      </c>
      <c r="F399" s="512" t="s">
        <v>12379</v>
      </c>
      <c r="H399" s="1"/>
      <c r="J399" s="1"/>
    </row>
    <row r="400" spans="1:10">
      <c r="A400" s="512" t="s">
        <v>829</v>
      </c>
      <c r="B400" s="512" t="s">
        <v>12784</v>
      </c>
      <c r="C400" s="1" t="s">
        <v>12785</v>
      </c>
      <c r="D400" s="7">
        <v>8458</v>
      </c>
      <c r="F400" s="512" t="s">
        <v>12364</v>
      </c>
      <c r="H400" s="1"/>
      <c r="J400" s="1"/>
    </row>
    <row r="401" spans="1:10">
      <c r="A401" s="512" t="s">
        <v>830</v>
      </c>
      <c r="B401" s="512" t="s">
        <v>12786</v>
      </c>
      <c r="C401" s="1" t="s">
        <v>12787</v>
      </c>
      <c r="D401" s="7">
        <v>9264</v>
      </c>
      <c r="F401" s="512" t="s">
        <v>12367</v>
      </c>
      <c r="H401" s="1"/>
      <c r="J401" s="1"/>
    </row>
    <row r="402" spans="1:10">
      <c r="A402" s="512" t="s">
        <v>831</v>
      </c>
      <c r="B402" s="512" t="s">
        <v>12788</v>
      </c>
      <c r="C402" s="1" t="s">
        <v>12789</v>
      </c>
      <c r="D402" s="7">
        <v>8268</v>
      </c>
      <c r="F402" s="512" t="s">
        <v>12367</v>
      </c>
      <c r="H402" s="1"/>
      <c r="J402" s="1"/>
    </row>
    <row r="403" spans="1:10">
      <c r="A403" s="512" t="s">
        <v>832</v>
      </c>
      <c r="B403" s="512" t="s">
        <v>12790</v>
      </c>
      <c r="C403" s="1" t="s">
        <v>12791</v>
      </c>
      <c r="D403" s="8">
        <v>8270</v>
      </c>
      <c r="F403" s="512" t="s">
        <v>12379</v>
      </c>
      <c r="H403" s="1"/>
      <c r="J403" s="1"/>
    </row>
    <row r="404" spans="1:10">
      <c r="A404" s="512" t="s">
        <v>833</v>
      </c>
      <c r="B404" s="512" t="s">
        <v>12792</v>
      </c>
      <c r="C404" s="1" t="s">
        <v>12793</v>
      </c>
      <c r="D404" s="7">
        <v>8588</v>
      </c>
      <c r="F404" s="512" t="s">
        <v>12364</v>
      </c>
      <c r="H404" s="1"/>
      <c r="J404" s="1"/>
    </row>
    <row r="405" spans="1:10">
      <c r="A405" s="512" t="s">
        <v>834</v>
      </c>
      <c r="B405" s="512" t="s">
        <v>12794</v>
      </c>
      <c r="C405" s="1" t="s">
        <v>12795</v>
      </c>
      <c r="D405" s="7">
        <v>9848</v>
      </c>
      <c r="F405" s="512" t="s">
        <v>12364</v>
      </c>
      <c r="H405" s="1"/>
      <c r="J405" s="1"/>
    </row>
    <row r="406" spans="1:10">
      <c r="A406" s="512" t="s">
        <v>835</v>
      </c>
      <c r="B406" s="512" t="s">
        <v>12796</v>
      </c>
      <c r="C406" s="1" t="s">
        <v>12797</v>
      </c>
      <c r="D406" s="7">
        <v>9681</v>
      </c>
      <c r="F406" s="512" t="s">
        <v>12364</v>
      </c>
      <c r="H406" s="1"/>
      <c r="J406" s="1"/>
    </row>
    <row r="407" spans="1:10">
      <c r="A407" s="512" t="s">
        <v>836</v>
      </c>
      <c r="B407" s="512" t="s">
        <v>12798</v>
      </c>
      <c r="C407" s="1" t="s">
        <v>12799</v>
      </c>
      <c r="D407" s="7">
        <v>9452</v>
      </c>
      <c r="F407" s="512" t="s">
        <v>12364</v>
      </c>
      <c r="H407" s="1"/>
      <c r="J407" s="1"/>
    </row>
    <row r="408" spans="1:10">
      <c r="A408" s="512" t="s">
        <v>837</v>
      </c>
      <c r="B408" s="512" t="s">
        <v>12800</v>
      </c>
      <c r="C408" s="1" t="s">
        <v>12801</v>
      </c>
      <c r="D408" s="7">
        <v>9320</v>
      </c>
      <c r="F408" s="512" t="s">
        <v>12367</v>
      </c>
      <c r="H408" s="1"/>
      <c r="J408" s="1"/>
    </row>
    <row r="409" spans="1:10">
      <c r="A409" s="512" t="s">
        <v>838</v>
      </c>
      <c r="B409" s="512" t="s">
        <v>12802</v>
      </c>
      <c r="C409" s="1" t="s">
        <v>12803</v>
      </c>
      <c r="D409" s="8">
        <v>9120</v>
      </c>
      <c r="F409" s="512" t="s">
        <v>12379</v>
      </c>
      <c r="H409" s="1"/>
      <c r="J409" s="1"/>
    </row>
    <row r="410" spans="1:10">
      <c r="A410" s="512" t="s">
        <v>840</v>
      </c>
      <c r="B410" s="512" t="s">
        <v>12804</v>
      </c>
      <c r="C410" s="1" t="s">
        <v>12805</v>
      </c>
      <c r="D410" s="8">
        <v>8984</v>
      </c>
      <c r="F410" s="512" t="s">
        <v>12379</v>
      </c>
      <c r="H410" s="1"/>
      <c r="J410" s="1"/>
    </row>
    <row r="411" spans="1:10">
      <c r="A411" s="512" t="s">
        <v>841</v>
      </c>
      <c r="B411" s="512" t="s">
        <v>12806</v>
      </c>
      <c r="C411" s="1" t="s">
        <v>12807</v>
      </c>
      <c r="D411" s="8">
        <v>9510</v>
      </c>
      <c r="F411" s="512" t="s">
        <v>12379</v>
      </c>
      <c r="H411" s="1"/>
      <c r="J411" s="1"/>
    </row>
    <row r="412" spans="1:10">
      <c r="A412" s="512" t="s">
        <v>878</v>
      </c>
      <c r="B412" s="512" t="s">
        <v>12808</v>
      </c>
      <c r="C412" s="1" t="s">
        <v>12809</v>
      </c>
      <c r="D412" s="7">
        <v>10010</v>
      </c>
      <c r="F412" s="512" t="s">
        <v>12364</v>
      </c>
      <c r="H412" s="1"/>
      <c r="J412" s="1"/>
    </row>
    <row r="413" spans="1:10">
      <c r="A413" s="512" t="s">
        <v>879</v>
      </c>
      <c r="B413" s="512" t="s">
        <v>12810</v>
      </c>
      <c r="C413" s="1" t="s">
        <v>12811</v>
      </c>
      <c r="D413" s="8">
        <v>8839</v>
      </c>
      <c r="F413" s="512" t="s">
        <v>12379</v>
      </c>
      <c r="H413" s="1"/>
      <c r="J413" s="1"/>
    </row>
    <row r="414" spans="1:10">
      <c r="A414" s="512" t="s">
        <v>880</v>
      </c>
      <c r="B414" s="512" t="s">
        <v>12812</v>
      </c>
      <c r="C414" s="1" t="s">
        <v>12813</v>
      </c>
      <c r="D414" s="8">
        <v>9316</v>
      </c>
      <c r="F414" s="512" t="s">
        <v>12379</v>
      </c>
      <c r="H414" s="1"/>
      <c r="J414" s="1"/>
    </row>
    <row r="415" spans="1:10">
      <c r="A415" s="512" t="s">
        <v>721</v>
      </c>
      <c r="B415" s="512" t="s">
        <v>4656</v>
      </c>
      <c r="C415" s="1" t="s">
        <v>12814</v>
      </c>
      <c r="D415" s="8">
        <v>8917</v>
      </c>
      <c r="F415" s="512" t="s">
        <v>12367</v>
      </c>
      <c r="H415" s="1"/>
      <c r="J415" s="1"/>
    </row>
    <row r="416" spans="1:10">
      <c r="A416" s="722">
        <v>25</v>
      </c>
      <c r="B416" s="512" t="s">
        <v>12815</v>
      </c>
      <c r="C416" s="1" t="s">
        <v>12816</v>
      </c>
      <c r="D416" s="8">
        <v>8698</v>
      </c>
      <c r="F416" s="512" t="s">
        <v>12367</v>
      </c>
      <c r="H416" s="1"/>
      <c r="J416" s="1"/>
    </row>
    <row r="417" spans="1:4">
      <c r="D417" s="714"/>
    </row>
    <row r="418" spans="1:4">
      <c r="A418" s="512" t="s">
        <v>12422</v>
      </c>
      <c r="D418" s="713">
        <f t="shared" ref="D418" si="60">D397</f>
        <v>10337</v>
      </c>
    </row>
    <row r="419" spans="1:4">
      <c r="A419" s="512" t="s">
        <v>12364</v>
      </c>
      <c r="D419" s="713">
        <f t="shared" ref="D419" si="61">D395+D396+D400+SUM(D404:D407)+D412</f>
        <v>73070</v>
      </c>
    </row>
    <row r="420" spans="1:4">
      <c r="A420" s="512" t="s">
        <v>12367</v>
      </c>
      <c r="D420" s="713">
        <f t="shared" ref="D420" si="62">D392+D393+D398+D401+D402+D408+D415+D416</f>
        <v>71857</v>
      </c>
    </row>
    <row r="421" spans="1:4">
      <c r="A421" s="512" t="s">
        <v>12379</v>
      </c>
      <c r="D421" s="713">
        <f t="shared" ref="D421" si="63">D394+D399+D403+SUM(D409:D411)+D413+D414</f>
        <v>72733</v>
      </c>
    </row>
    <row r="422" spans="1:4">
      <c r="A422" s="512"/>
      <c r="D422" s="713"/>
    </row>
    <row r="423" spans="1:4">
      <c r="A423" s="711" t="s">
        <v>12817</v>
      </c>
    </row>
  </sheetData>
  <printOptions gridLinesSet="0"/>
  <pageMargins left="0.78740157480314965" right="0" top="0.51181102362204722" bottom="0.51181102362204722" header="0.51181102362204722" footer="0.51181102362204722"/>
  <pageSetup paperSize="9" scale="75" orientation="portrait" horizontalDpi="300" verticalDpi="300" r:id="rId1"/>
  <headerFooter alignWithMargins="0">
    <oddFooter>&amp;C&amp;"Times New Roman,Regular"&amp;8&amp;P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26"/>
  <sheetViews>
    <sheetView showGridLines="0" zoomScaleNormal="100" workbookViewId="0"/>
  </sheetViews>
  <sheetFormatPr defaultColWidth="14.59765625" defaultRowHeight="14.5"/>
  <cols>
    <col min="1" max="1" width="4.8984375" style="107" customWidth="1"/>
    <col min="2" max="2" width="37.09765625" style="107" customWidth="1"/>
    <col min="3" max="3" width="11.69921875" style="107" customWidth="1"/>
    <col min="4" max="4" width="10" style="107" customWidth="1"/>
    <col min="5" max="5" width="2.296875" style="107" customWidth="1"/>
    <col min="6" max="6" width="33.09765625" style="107" customWidth="1"/>
    <col min="7" max="16384" width="14.59765625" style="107"/>
  </cols>
  <sheetData>
    <row r="1" spans="1:6">
      <c r="A1" s="106" t="s">
        <v>1075</v>
      </c>
      <c r="D1" s="62">
        <v>2016</v>
      </c>
    </row>
    <row r="3" spans="1:6">
      <c r="A3" s="106" t="s">
        <v>416</v>
      </c>
      <c r="D3" s="108">
        <f>D46</f>
        <v>129407</v>
      </c>
    </row>
    <row r="4" spans="1:6">
      <c r="A4" s="106" t="s">
        <v>742</v>
      </c>
      <c r="D4" s="108">
        <f>D93</f>
        <v>300195</v>
      </c>
    </row>
    <row r="5" spans="1:6">
      <c r="A5" s="106" t="s">
        <v>852</v>
      </c>
      <c r="D5" s="108">
        <f>D140</f>
        <v>151312</v>
      </c>
    </row>
    <row r="6" spans="1:6" ht="15" thickBot="1">
      <c r="A6" s="106" t="s">
        <v>655</v>
      </c>
      <c r="D6" s="125">
        <f>D185</f>
        <v>202593</v>
      </c>
    </row>
    <row r="7" spans="1:6" ht="15" thickBot="1">
      <c r="D7" s="124">
        <f>SUM(D3:D6)</f>
        <v>783507</v>
      </c>
    </row>
    <row r="8" spans="1:6">
      <c r="D8" s="111"/>
    </row>
    <row r="9" spans="1:6">
      <c r="A9" s="106" t="s">
        <v>2324</v>
      </c>
      <c r="D9" s="111">
        <f>D85</f>
        <v>73586</v>
      </c>
      <c r="F9" s="106" t="s">
        <v>417</v>
      </c>
    </row>
    <row r="10" spans="1:6">
      <c r="D10" s="109"/>
      <c r="F10" s="110"/>
    </row>
    <row r="11" spans="1:6">
      <c r="A11" s="106" t="s">
        <v>743</v>
      </c>
      <c r="D11" s="108">
        <f>D130</f>
        <v>76627</v>
      </c>
      <c r="F11" s="106" t="s">
        <v>744</v>
      </c>
    </row>
    <row r="12" spans="1:6">
      <c r="D12" s="111"/>
    </row>
    <row r="13" spans="1:6">
      <c r="A13" s="106" t="s">
        <v>741</v>
      </c>
      <c r="D13" s="108">
        <f>D131</f>
        <v>71869</v>
      </c>
      <c r="F13" s="106" t="s">
        <v>744</v>
      </c>
    </row>
    <row r="14" spans="1:6">
      <c r="D14" s="111"/>
    </row>
    <row r="15" spans="1:6">
      <c r="A15" s="106" t="s">
        <v>549</v>
      </c>
      <c r="D15" s="108">
        <f>D132</f>
        <v>78060</v>
      </c>
      <c r="F15" s="106" t="s">
        <v>744</v>
      </c>
    </row>
    <row r="16" spans="1:6">
      <c r="D16" s="111"/>
    </row>
    <row r="17" spans="1:6">
      <c r="A17" s="106" t="s">
        <v>550</v>
      </c>
      <c r="D17" s="108">
        <f>D133</f>
        <v>73639</v>
      </c>
      <c r="F17" s="106" t="s">
        <v>744</v>
      </c>
    </row>
    <row r="18" spans="1:6">
      <c r="A18" s="106"/>
      <c r="D18" s="108"/>
      <c r="F18" s="106"/>
    </row>
    <row r="19" spans="1:6">
      <c r="A19" s="106" t="s">
        <v>2327</v>
      </c>
      <c r="D19" s="137">
        <f>D222</f>
        <v>53714</v>
      </c>
      <c r="F19" s="106" t="s">
        <v>144</v>
      </c>
    </row>
    <row r="20" spans="1:6" ht="15" thickBot="1">
      <c r="A20" s="106"/>
      <c r="D20" s="124">
        <f>GLOUCESTERSHIRE!D15</f>
        <v>23641</v>
      </c>
      <c r="F20" s="107" t="s">
        <v>715</v>
      </c>
    </row>
    <row r="21" spans="1:6" ht="15" thickBot="1">
      <c r="A21" s="106"/>
      <c r="D21" s="125">
        <f>D19+D20</f>
        <v>77355</v>
      </c>
      <c r="F21" s="106"/>
    </row>
    <row r="22" spans="1:6">
      <c r="A22" s="106"/>
      <c r="D22" s="108"/>
      <c r="F22" s="106"/>
    </row>
    <row r="23" spans="1:6">
      <c r="A23" s="107" t="s">
        <v>656</v>
      </c>
      <c r="D23" s="111">
        <f>D223</f>
        <v>75495</v>
      </c>
      <c r="F23" s="106" t="s">
        <v>144</v>
      </c>
    </row>
    <row r="25" spans="1:6">
      <c r="A25" s="106" t="s">
        <v>145</v>
      </c>
      <c r="D25" s="111">
        <f>D224</f>
        <v>73384</v>
      </c>
      <c r="F25" s="106" t="s">
        <v>144</v>
      </c>
    </row>
    <row r="27" spans="1:6">
      <c r="A27" s="106" t="s">
        <v>418</v>
      </c>
      <c r="D27" s="111">
        <f>D86</f>
        <v>55821</v>
      </c>
      <c r="F27" s="106" t="s">
        <v>417</v>
      </c>
    </row>
    <row r="28" spans="1:6" ht="15" thickBot="1">
      <c r="A28" s="106"/>
      <c r="D28" s="125">
        <f>SOMERSET!D16</f>
        <v>17185</v>
      </c>
      <c r="F28" s="106" t="s">
        <v>18</v>
      </c>
    </row>
    <row r="29" spans="1:6" ht="15" thickBot="1">
      <c r="D29" s="135">
        <f>D27+D28</f>
        <v>73006</v>
      </c>
    </row>
    <row r="31" spans="1:6">
      <c r="A31" s="106" t="s">
        <v>853</v>
      </c>
      <c r="D31" s="111">
        <f>D177</f>
        <v>75979</v>
      </c>
      <c r="F31" s="106" t="s">
        <v>657</v>
      </c>
    </row>
    <row r="32" spans="1:6">
      <c r="A32" s="106"/>
      <c r="D32" s="108"/>
      <c r="F32" s="106"/>
    </row>
    <row r="33" spans="1:6">
      <c r="A33" s="106" t="s">
        <v>2326</v>
      </c>
      <c r="D33" s="111">
        <f>D178</f>
        <v>75333</v>
      </c>
      <c r="F33" s="106" t="s">
        <v>657</v>
      </c>
    </row>
    <row r="34" spans="1:6">
      <c r="A34" s="106"/>
      <c r="D34" s="108"/>
      <c r="F34" s="106"/>
    </row>
    <row r="35" spans="1:6">
      <c r="A35" s="106" t="s">
        <v>1041</v>
      </c>
      <c r="D35" s="108">
        <f>D9+D11+D13+D15+D17+D19+D23+D25+D27+D31+D33</f>
        <v>783507</v>
      </c>
    </row>
    <row r="36" spans="1:6">
      <c r="D36" s="111"/>
    </row>
    <row r="37" spans="1:6">
      <c r="A37" s="106" t="s">
        <v>1042</v>
      </c>
      <c r="D37" s="108">
        <f>MAX(D9,D11,D13,D15,D17,D23,D25,D29,D31,D21,D33)-MIN(D9,D11,D13,D15,D17,D23,D25,D29,D31,D21,D33)</f>
        <v>6191</v>
      </c>
    </row>
    <row r="38" spans="1:6">
      <c r="D38" s="111"/>
    </row>
    <row r="39" spans="1:6">
      <c r="A39" s="106" t="s">
        <v>1045</v>
      </c>
      <c r="D39" s="108">
        <f>STDEVP(D9,D11,D13,D15,D17,D23,D25,D29,D31,D21,D33)</f>
        <v>1884.6999892786059</v>
      </c>
    </row>
    <row r="40" spans="1:6">
      <c r="A40" s="106"/>
      <c r="D40" s="108"/>
    </row>
    <row r="41" spans="1:6">
      <c r="A41" s="106" t="s">
        <v>2319</v>
      </c>
      <c r="D41" s="108"/>
    </row>
    <row r="42" spans="1:6">
      <c r="A42" s="106"/>
      <c r="D42" s="108"/>
    </row>
    <row r="43" spans="1:6">
      <c r="A43" s="106"/>
      <c r="D43" s="108"/>
    </row>
    <row r="44" spans="1:6">
      <c r="A44" s="106"/>
      <c r="D44" s="10" t="s">
        <v>285</v>
      </c>
      <c r="E44" s="11"/>
      <c r="F44" s="5" t="s">
        <v>1842</v>
      </c>
    </row>
    <row r="45" spans="1:6">
      <c r="A45" s="106"/>
      <c r="D45" s="10">
        <v>2016</v>
      </c>
      <c r="E45" s="9"/>
      <c r="F45" s="12" t="s">
        <v>286</v>
      </c>
    </row>
    <row r="46" spans="1:6">
      <c r="A46" s="106" t="s">
        <v>416</v>
      </c>
      <c r="D46" s="108">
        <f>SUM(D47:D83)</f>
        <v>129407</v>
      </c>
    </row>
    <row r="47" spans="1:6">
      <c r="A47" s="94">
        <v>1</v>
      </c>
      <c r="B47" s="106" t="s">
        <v>998</v>
      </c>
      <c r="C47" s="1" t="s">
        <v>1087</v>
      </c>
      <c r="D47" s="13">
        <v>3554</v>
      </c>
      <c r="F47" s="106" t="s">
        <v>2324</v>
      </c>
    </row>
    <row r="48" spans="1:6">
      <c r="A48" s="94">
        <v>2</v>
      </c>
      <c r="B48" s="106" t="s">
        <v>419</v>
      </c>
      <c r="C48" s="1" t="s">
        <v>1088</v>
      </c>
      <c r="D48" s="13">
        <v>5586</v>
      </c>
      <c r="F48" s="106" t="s">
        <v>2324</v>
      </c>
    </row>
    <row r="49" spans="1:6">
      <c r="A49" s="94">
        <v>3</v>
      </c>
      <c r="B49" s="106" t="s">
        <v>420</v>
      </c>
      <c r="C49" s="1" t="s">
        <v>1089</v>
      </c>
      <c r="D49" s="13">
        <v>2105</v>
      </c>
      <c r="F49" s="106" t="s">
        <v>2324</v>
      </c>
    </row>
    <row r="50" spans="1:6">
      <c r="A50" s="94">
        <v>4</v>
      </c>
      <c r="B50" s="106" t="s">
        <v>421</v>
      </c>
      <c r="C50" s="1" t="s">
        <v>1090</v>
      </c>
      <c r="D50" s="13">
        <v>1984</v>
      </c>
      <c r="F50" s="106" t="s">
        <v>418</v>
      </c>
    </row>
    <row r="51" spans="1:6">
      <c r="A51" s="94">
        <v>5</v>
      </c>
      <c r="B51" s="106" t="s">
        <v>422</v>
      </c>
      <c r="C51" s="1" t="s">
        <v>1091</v>
      </c>
      <c r="D51" s="13">
        <v>3262</v>
      </c>
      <c r="F51" s="106" t="s">
        <v>2324</v>
      </c>
    </row>
    <row r="52" spans="1:6">
      <c r="A52" s="94">
        <v>6</v>
      </c>
      <c r="B52" s="106" t="s">
        <v>649</v>
      </c>
      <c r="C52" s="1" t="s">
        <v>1092</v>
      </c>
      <c r="D52" s="13">
        <v>1923</v>
      </c>
      <c r="F52" s="106" t="s">
        <v>418</v>
      </c>
    </row>
    <row r="53" spans="1:6">
      <c r="A53" s="94">
        <v>7</v>
      </c>
      <c r="B53" s="106" t="s">
        <v>650</v>
      </c>
      <c r="C53" s="1" t="s">
        <v>1093</v>
      </c>
      <c r="D53" s="13">
        <v>2037</v>
      </c>
      <c r="F53" s="106" t="s">
        <v>418</v>
      </c>
    </row>
    <row r="54" spans="1:6">
      <c r="A54" s="112">
        <v>8</v>
      </c>
      <c r="B54" s="106" t="s">
        <v>651</v>
      </c>
      <c r="C54" s="1" t="s">
        <v>1094</v>
      </c>
      <c r="D54" s="13">
        <v>1993</v>
      </c>
      <c r="F54" s="106" t="s">
        <v>418</v>
      </c>
    </row>
    <row r="55" spans="1:6">
      <c r="A55" s="112">
        <v>9</v>
      </c>
      <c r="B55" s="106" t="s">
        <v>652</v>
      </c>
      <c r="C55" s="1" t="s">
        <v>1095</v>
      </c>
      <c r="D55" s="13">
        <v>3813</v>
      </c>
      <c r="F55" s="106" t="s">
        <v>2324</v>
      </c>
    </row>
    <row r="56" spans="1:6">
      <c r="A56" s="94">
        <v>10</v>
      </c>
      <c r="B56" s="106" t="s">
        <v>653</v>
      </c>
      <c r="C56" s="1" t="s">
        <v>1096</v>
      </c>
      <c r="D56" s="13">
        <v>2034</v>
      </c>
      <c r="F56" s="106" t="s">
        <v>418</v>
      </c>
    </row>
    <row r="57" spans="1:6">
      <c r="A57" s="94">
        <v>11</v>
      </c>
      <c r="B57" s="107" t="s">
        <v>654</v>
      </c>
      <c r="C57" s="1" t="s">
        <v>1097</v>
      </c>
      <c r="D57" s="13">
        <v>2358</v>
      </c>
      <c r="F57" s="106" t="s">
        <v>418</v>
      </c>
    </row>
    <row r="58" spans="1:6">
      <c r="A58" s="94">
        <v>12</v>
      </c>
      <c r="B58" s="106" t="s">
        <v>146</v>
      </c>
      <c r="C58" s="1" t="s">
        <v>1098</v>
      </c>
      <c r="D58" s="13">
        <v>4412</v>
      </c>
      <c r="F58" s="106" t="s">
        <v>418</v>
      </c>
    </row>
    <row r="59" spans="1:6">
      <c r="A59" s="94">
        <v>13</v>
      </c>
      <c r="B59" s="106" t="s">
        <v>147</v>
      </c>
      <c r="C59" s="1" t="s">
        <v>1099</v>
      </c>
      <c r="D59" s="13">
        <v>4001</v>
      </c>
      <c r="F59" s="106" t="s">
        <v>418</v>
      </c>
    </row>
    <row r="60" spans="1:6">
      <c r="A60" s="94">
        <v>14</v>
      </c>
      <c r="B60" s="106" t="s">
        <v>148</v>
      </c>
      <c r="C60" s="1" t="s">
        <v>1100</v>
      </c>
      <c r="D60" s="13">
        <v>4034</v>
      </c>
      <c r="F60" s="106" t="s">
        <v>418</v>
      </c>
    </row>
    <row r="61" spans="1:6">
      <c r="A61" s="94">
        <v>15</v>
      </c>
      <c r="B61" s="106" t="s">
        <v>149</v>
      </c>
      <c r="C61" s="1" t="s">
        <v>1101</v>
      </c>
      <c r="D61" s="13">
        <v>3526</v>
      </c>
      <c r="F61" s="106" t="s">
        <v>2324</v>
      </c>
    </row>
    <row r="62" spans="1:6">
      <c r="A62" s="94">
        <v>16</v>
      </c>
      <c r="B62" s="106" t="s">
        <v>150</v>
      </c>
      <c r="C62" s="1" t="s">
        <v>1102</v>
      </c>
      <c r="D62" s="13">
        <v>4062</v>
      </c>
      <c r="F62" s="106" t="s">
        <v>2324</v>
      </c>
    </row>
    <row r="63" spans="1:6">
      <c r="A63" s="94">
        <v>17</v>
      </c>
      <c r="B63" s="106" t="s">
        <v>151</v>
      </c>
      <c r="C63" s="1" t="s">
        <v>1103</v>
      </c>
      <c r="D63" s="13">
        <v>3097</v>
      </c>
      <c r="F63" s="106" t="s">
        <v>2324</v>
      </c>
    </row>
    <row r="64" spans="1:6">
      <c r="A64" s="94">
        <v>18</v>
      </c>
      <c r="B64" s="106" t="s">
        <v>152</v>
      </c>
      <c r="C64" s="1" t="s">
        <v>1104</v>
      </c>
      <c r="D64" s="13">
        <v>4175</v>
      </c>
      <c r="F64" s="106" t="s">
        <v>2324</v>
      </c>
    </row>
    <row r="65" spans="1:6">
      <c r="A65" s="94">
        <v>19</v>
      </c>
      <c r="B65" s="107" t="s">
        <v>799</v>
      </c>
      <c r="C65" s="1" t="s">
        <v>1105</v>
      </c>
      <c r="D65" s="13">
        <v>2111</v>
      </c>
      <c r="F65" s="106" t="s">
        <v>418</v>
      </c>
    </row>
    <row r="66" spans="1:6">
      <c r="A66" s="94">
        <v>20</v>
      </c>
      <c r="B66" s="106" t="s">
        <v>153</v>
      </c>
      <c r="C66" s="1" t="s">
        <v>1106</v>
      </c>
      <c r="D66" s="13">
        <v>4468</v>
      </c>
      <c r="F66" s="106" t="s">
        <v>418</v>
      </c>
    </row>
    <row r="67" spans="1:6">
      <c r="A67" s="94">
        <v>21</v>
      </c>
      <c r="B67" s="106" t="s">
        <v>154</v>
      </c>
      <c r="C67" s="1" t="s">
        <v>1107</v>
      </c>
      <c r="D67" s="13">
        <v>4170</v>
      </c>
      <c r="F67" s="106" t="s">
        <v>418</v>
      </c>
    </row>
    <row r="68" spans="1:6">
      <c r="A68" s="94">
        <v>22</v>
      </c>
      <c r="B68" s="106" t="s">
        <v>155</v>
      </c>
      <c r="C68" s="1" t="s">
        <v>1108</v>
      </c>
      <c r="D68" s="13">
        <v>4119</v>
      </c>
      <c r="F68" s="106" t="s">
        <v>2324</v>
      </c>
    </row>
    <row r="69" spans="1:6">
      <c r="A69" s="94">
        <v>23</v>
      </c>
      <c r="B69" s="107" t="s">
        <v>156</v>
      </c>
      <c r="C69" s="1" t="s">
        <v>1109</v>
      </c>
      <c r="D69" s="13">
        <v>3912</v>
      </c>
      <c r="F69" s="106" t="s">
        <v>2324</v>
      </c>
    </row>
    <row r="70" spans="1:6">
      <c r="A70" s="94">
        <v>24</v>
      </c>
      <c r="B70" s="106" t="s">
        <v>157</v>
      </c>
      <c r="C70" s="1" t="s">
        <v>1110</v>
      </c>
      <c r="D70" s="13">
        <v>3919</v>
      </c>
      <c r="F70" s="106" t="s">
        <v>2324</v>
      </c>
    </row>
    <row r="71" spans="1:6">
      <c r="A71" s="94">
        <v>25</v>
      </c>
      <c r="B71" s="106" t="s">
        <v>158</v>
      </c>
      <c r="C71" s="1" t="s">
        <v>1111</v>
      </c>
      <c r="D71" s="13">
        <v>4332</v>
      </c>
      <c r="F71" s="106" t="s">
        <v>418</v>
      </c>
    </row>
    <row r="72" spans="1:6">
      <c r="A72" s="94">
        <v>26</v>
      </c>
      <c r="B72" s="106" t="s">
        <v>159</v>
      </c>
      <c r="C72" s="1" t="s">
        <v>1112</v>
      </c>
      <c r="D72" s="13">
        <v>4929</v>
      </c>
      <c r="F72" s="106" t="s">
        <v>2324</v>
      </c>
    </row>
    <row r="73" spans="1:6">
      <c r="A73" s="94">
        <v>27</v>
      </c>
      <c r="B73" s="107" t="s">
        <v>160</v>
      </c>
      <c r="C73" s="1" t="s">
        <v>1113</v>
      </c>
      <c r="D73" s="13">
        <v>2018</v>
      </c>
      <c r="F73" s="106" t="s">
        <v>418</v>
      </c>
    </row>
    <row r="74" spans="1:6">
      <c r="A74" s="94">
        <v>28</v>
      </c>
      <c r="B74" s="106" t="s">
        <v>161</v>
      </c>
      <c r="C74" s="1" t="s">
        <v>1114</v>
      </c>
      <c r="D74" s="13">
        <v>3928</v>
      </c>
      <c r="F74" s="106" t="s">
        <v>418</v>
      </c>
    </row>
    <row r="75" spans="1:6">
      <c r="A75" s="94">
        <v>29</v>
      </c>
      <c r="B75" s="106" t="s">
        <v>162</v>
      </c>
      <c r="C75" s="1" t="s">
        <v>1115</v>
      </c>
      <c r="D75" s="13">
        <v>3419</v>
      </c>
      <c r="F75" s="106" t="s">
        <v>418</v>
      </c>
    </row>
    <row r="76" spans="1:6">
      <c r="A76" s="94">
        <v>30</v>
      </c>
      <c r="B76" s="106" t="s">
        <v>163</v>
      </c>
      <c r="C76" s="1" t="s">
        <v>1116</v>
      </c>
      <c r="D76" s="13">
        <v>4005</v>
      </c>
      <c r="F76" s="106" t="s">
        <v>2324</v>
      </c>
    </row>
    <row r="77" spans="1:6">
      <c r="A77" s="94">
        <v>31</v>
      </c>
      <c r="B77" s="106" t="s">
        <v>164</v>
      </c>
      <c r="C77" s="1" t="s">
        <v>1117</v>
      </c>
      <c r="D77" s="13">
        <v>2067</v>
      </c>
      <c r="F77" s="106" t="s">
        <v>418</v>
      </c>
    </row>
    <row r="78" spans="1:6">
      <c r="A78" s="94">
        <v>32</v>
      </c>
      <c r="B78" s="106" t="s">
        <v>165</v>
      </c>
      <c r="C78" s="1" t="s">
        <v>1118</v>
      </c>
      <c r="D78" s="13">
        <v>3578</v>
      </c>
      <c r="F78" s="106" t="s">
        <v>2324</v>
      </c>
    </row>
    <row r="79" spans="1:6">
      <c r="A79" s="94">
        <v>33</v>
      </c>
      <c r="B79" s="106" t="s">
        <v>166</v>
      </c>
      <c r="C79" s="1" t="s">
        <v>1119</v>
      </c>
      <c r="D79" s="13">
        <v>4004</v>
      </c>
      <c r="F79" s="106" t="s">
        <v>2324</v>
      </c>
    </row>
    <row r="80" spans="1:6">
      <c r="A80" s="94">
        <v>34</v>
      </c>
      <c r="B80" s="106" t="s">
        <v>167</v>
      </c>
      <c r="C80" s="1" t="s">
        <v>1120</v>
      </c>
      <c r="D80" s="13">
        <v>4532</v>
      </c>
      <c r="F80" s="106" t="s">
        <v>418</v>
      </c>
    </row>
    <row r="81" spans="1:9">
      <c r="A81" s="94">
        <v>35</v>
      </c>
      <c r="B81" s="106" t="s">
        <v>168</v>
      </c>
      <c r="C81" s="1" t="s">
        <v>1121</v>
      </c>
      <c r="D81" s="13">
        <v>4424</v>
      </c>
      <c r="F81" s="106" t="s">
        <v>2324</v>
      </c>
    </row>
    <row r="82" spans="1:9">
      <c r="A82" s="94">
        <v>36</v>
      </c>
      <c r="B82" s="106" t="s">
        <v>169</v>
      </c>
      <c r="C82" s="1" t="s">
        <v>1122</v>
      </c>
      <c r="D82" s="13">
        <v>3989</v>
      </c>
      <c r="F82" s="106" t="s">
        <v>2324</v>
      </c>
    </row>
    <row r="83" spans="1:9">
      <c r="A83" s="94">
        <v>37</v>
      </c>
      <c r="B83" s="106" t="s">
        <v>426</v>
      </c>
      <c r="C83" s="1" t="s">
        <v>1123</v>
      </c>
      <c r="D83" s="13">
        <v>3527</v>
      </c>
      <c r="F83" s="106" t="s">
        <v>2324</v>
      </c>
    </row>
    <row r="84" spans="1:9">
      <c r="A84" s="94"/>
      <c r="B84" s="106"/>
      <c r="C84" s="1"/>
      <c r="D84" s="13"/>
      <c r="F84" s="106"/>
    </row>
    <row r="85" spans="1:9">
      <c r="A85" s="106" t="s">
        <v>2324</v>
      </c>
      <c r="D85" s="108">
        <f>SUM(D47:D49)+D51+D55+SUM(D61:D64)+SUM(D68:D70)+D72+D76+D78+D79+SUM(D81:D83)</f>
        <v>73586</v>
      </c>
      <c r="F85" s="106"/>
    </row>
    <row r="86" spans="1:9">
      <c r="A86" s="106" t="s">
        <v>2325</v>
      </c>
      <c r="D86" s="108">
        <f>D50+SUM(D52:D54)+SUM(D56:D60)+SUM(D65:D67)+D71+SUM(D73:D75)+D77+D80</f>
        <v>55821</v>
      </c>
      <c r="F86" s="106"/>
    </row>
    <row r="87" spans="1:9">
      <c r="D87" s="111"/>
    </row>
    <row r="88" spans="1:9">
      <c r="A88" s="106" t="s">
        <v>427</v>
      </c>
    </row>
    <row r="89" spans="1:9">
      <c r="A89" s="106"/>
      <c r="D89" s="108"/>
    </row>
    <row r="90" spans="1:9">
      <c r="A90" s="106"/>
      <c r="D90" s="108"/>
    </row>
    <row r="91" spans="1:9">
      <c r="A91" s="106"/>
      <c r="D91" s="10" t="s">
        <v>285</v>
      </c>
      <c r="E91" s="11"/>
      <c r="F91" s="5" t="s">
        <v>1842</v>
      </c>
    </row>
    <row r="92" spans="1:9">
      <c r="A92" s="106"/>
      <c r="D92" s="10">
        <v>2016</v>
      </c>
      <c r="E92" s="9"/>
      <c r="F92" s="12" t="s">
        <v>286</v>
      </c>
    </row>
    <row r="93" spans="1:9">
      <c r="A93" s="106" t="s">
        <v>742</v>
      </c>
      <c r="D93" s="108">
        <f>SUM(D94:D128)</f>
        <v>300195</v>
      </c>
    </row>
    <row r="94" spans="1:9">
      <c r="A94" s="94">
        <v>1</v>
      </c>
      <c r="B94" s="106" t="s">
        <v>850</v>
      </c>
      <c r="C94" s="1" t="s">
        <v>1124</v>
      </c>
      <c r="D94" s="8">
        <v>10383</v>
      </c>
      <c r="F94" s="106" t="s">
        <v>550</v>
      </c>
      <c r="G94" s="1"/>
      <c r="I94" s="1"/>
    </row>
    <row r="95" spans="1:9">
      <c r="A95" s="94">
        <v>2</v>
      </c>
      <c r="B95" s="106" t="s">
        <v>851</v>
      </c>
      <c r="C95" s="1" t="s">
        <v>1125</v>
      </c>
      <c r="D95" s="7">
        <v>8745</v>
      </c>
      <c r="F95" s="106" t="s">
        <v>741</v>
      </c>
      <c r="G95" s="1"/>
      <c r="I95" s="1"/>
    </row>
    <row r="96" spans="1:9">
      <c r="A96" s="94">
        <v>3</v>
      </c>
      <c r="B96" s="106" t="s">
        <v>943</v>
      </c>
      <c r="C96" s="1" t="s">
        <v>1126</v>
      </c>
      <c r="D96" s="8">
        <v>9654</v>
      </c>
      <c r="F96" s="106" t="s">
        <v>549</v>
      </c>
      <c r="G96" s="1"/>
      <c r="I96" s="1"/>
    </row>
    <row r="97" spans="1:9">
      <c r="A97" s="94">
        <v>4</v>
      </c>
      <c r="B97" s="106" t="s">
        <v>944</v>
      </c>
      <c r="C97" s="1" t="s">
        <v>1127</v>
      </c>
      <c r="D97" s="8">
        <v>9823</v>
      </c>
      <c r="F97" s="106" t="s">
        <v>550</v>
      </c>
      <c r="G97" s="1"/>
      <c r="I97" s="1"/>
    </row>
    <row r="98" spans="1:9">
      <c r="A98" s="94">
        <v>5</v>
      </c>
      <c r="B98" s="106" t="s">
        <v>945</v>
      </c>
      <c r="C98" s="1" t="s">
        <v>1128</v>
      </c>
      <c r="D98" s="8">
        <v>8513</v>
      </c>
      <c r="F98" s="106" t="s">
        <v>549</v>
      </c>
      <c r="G98" s="1"/>
      <c r="I98" s="1"/>
    </row>
    <row r="99" spans="1:9">
      <c r="A99" s="94">
        <v>6</v>
      </c>
      <c r="B99" s="106" t="s">
        <v>946</v>
      </c>
      <c r="C99" s="1" t="s">
        <v>1129</v>
      </c>
      <c r="D99" s="7">
        <v>8602</v>
      </c>
      <c r="F99" s="106" t="s">
        <v>743</v>
      </c>
      <c r="G99" s="1"/>
      <c r="I99" s="1"/>
    </row>
    <row r="100" spans="1:9">
      <c r="A100" s="94">
        <v>7</v>
      </c>
      <c r="B100" s="106" t="s">
        <v>947</v>
      </c>
      <c r="C100" s="1" t="s">
        <v>1130</v>
      </c>
      <c r="D100" s="7">
        <v>8223</v>
      </c>
      <c r="F100" s="106" t="s">
        <v>743</v>
      </c>
      <c r="G100" s="1"/>
      <c r="I100" s="1"/>
    </row>
    <row r="101" spans="1:9">
      <c r="A101" s="94">
        <v>8</v>
      </c>
      <c r="B101" s="106" t="s">
        <v>948</v>
      </c>
      <c r="C101" s="1" t="s">
        <v>1131</v>
      </c>
      <c r="D101" s="8">
        <v>10296</v>
      </c>
      <c r="F101" s="106" t="s">
        <v>550</v>
      </c>
      <c r="G101" s="1"/>
      <c r="I101" s="1"/>
    </row>
    <row r="102" spans="1:9">
      <c r="A102" s="94">
        <v>9</v>
      </c>
      <c r="B102" s="106" t="s">
        <v>949</v>
      </c>
      <c r="C102" s="1" t="s">
        <v>1132</v>
      </c>
      <c r="D102" s="8">
        <v>8127</v>
      </c>
      <c r="F102" s="106" t="s">
        <v>550</v>
      </c>
      <c r="G102" s="1"/>
      <c r="I102" s="1"/>
    </row>
    <row r="103" spans="1:9">
      <c r="A103" s="94">
        <v>10</v>
      </c>
      <c r="B103" s="106" t="s">
        <v>950</v>
      </c>
      <c r="C103" s="1" t="s">
        <v>1133</v>
      </c>
      <c r="D103" s="8">
        <v>7491</v>
      </c>
      <c r="F103" s="106" t="s">
        <v>550</v>
      </c>
      <c r="G103" s="1"/>
      <c r="I103" s="1"/>
    </row>
    <row r="104" spans="1:9">
      <c r="A104" s="94">
        <v>11</v>
      </c>
      <c r="B104" s="106" t="s">
        <v>951</v>
      </c>
      <c r="C104" s="1" t="s">
        <v>1134</v>
      </c>
      <c r="D104" s="8">
        <v>9231</v>
      </c>
      <c r="F104" s="106" t="s">
        <v>550</v>
      </c>
      <c r="G104" s="1"/>
      <c r="I104" s="1"/>
    </row>
    <row r="105" spans="1:9">
      <c r="A105" s="94">
        <v>12</v>
      </c>
      <c r="B105" s="106" t="s">
        <v>952</v>
      </c>
      <c r="C105" s="1" t="s">
        <v>1135</v>
      </c>
      <c r="D105" s="8">
        <v>8428</v>
      </c>
      <c r="F105" s="106" t="s">
        <v>743</v>
      </c>
      <c r="G105" s="1"/>
      <c r="I105" s="1"/>
    </row>
    <row r="106" spans="1:9">
      <c r="A106" s="94">
        <v>13</v>
      </c>
      <c r="B106" s="106" t="s">
        <v>953</v>
      </c>
      <c r="C106" s="1" t="s">
        <v>1136</v>
      </c>
      <c r="D106" s="7">
        <v>8210</v>
      </c>
      <c r="F106" s="106" t="s">
        <v>743</v>
      </c>
      <c r="G106" s="1"/>
      <c r="I106" s="1"/>
    </row>
    <row r="107" spans="1:9">
      <c r="A107" s="94">
        <v>14</v>
      </c>
      <c r="B107" s="106" t="s">
        <v>954</v>
      </c>
      <c r="C107" s="1" t="s">
        <v>1137</v>
      </c>
      <c r="D107" s="8">
        <v>8026</v>
      </c>
      <c r="F107" s="106" t="s">
        <v>549</v>
      </c>
      <c r="G107" s="1"/>
      <c r="I107" s="1"/>
    </row>
    <row r="108" spans="1:9">
      <c r="A108" s="94">
        <v>15</v>
      </c>
      <c r="B108" s="106" t="s">
        <v>955</v>
      </c>
      <c r="C108" s="1" t="s">
        <v>1138</v>
      </c>
      <c r="D108" s="7">
        <v>8185</v>
      </c>
      <c r="F108" s="106" t="s">
        <v>743</v>
      </c>
      <c r="G108" s="1"/>
      <c r="I108" s="1"/>
    </row>
    <row r="109" spans="1:9">
      <c r="A109" s="94">
        <v>16</v>
      </c>
      <c r="B109" s="106" t="s">
        <v>956</v>
      </c>
      <c r="C109" s="1" t="s">
        <v>1139</v>
      </c>
      <c r="D109" s="8">
        <v>8499</v>
      </c>
      <c r="F109" s="106" t="s">
        <v>549</v>
      </c>
      <c r="G109" s="1"/>
      <c r="I109" s="1"/>
    </row>
    <row r="110" spans="1:9">
      <c r="A110" s="94">
        <v>17</v>
      </c>
      <c r="B110" s="106" t="s">
        <v>957</v>
      </c>
      <c r="C110" s="1" t="s">
        <v>1140</v>
      </c>
      <c r="D110" s="7">
        <v>7508</v>
      </c>
      <c r="F110" s="106" t="s">
        <v>741</v>
      </c>
      <c r="G110" s="1"/>
      <c r="I110" s="1"/>
    </row>
    <row r="111" spans="1:9">
      <c r="A111" s="94">
        <v>18</v>
      </c>
      <c r="B111" s="106" t="s">
        <v>958</v>
      </c>
      <c r="C111" s="1" t="s">
        <v>1141</v>
      </c>
      <c r="D111" s="8">
        <v>8830</v>
      </c>
      <c r="F111" s="106" t="s">
        <v>549</v>
      </c>
      <c r="G111" s="1"/>
      <c r="I111" s="1"/>
    </row>
    <row r="112" spans="1:9">
      <c r="A112" s="94">
        <v>19</v>
      </c>
      <c r="B112" s="106" t="s">
        <v>959</v>
      </c>
      <c r="C112" s="1" t="s">
        <v>1142</v>
      </c>
      <c r="D112" s="7">
        <v>7895</v>
      </c>
      <c r="F112" s="106" t="s">
        <v>741</v>
      </c>
      <c r="G112" s="1"/>
      <c r="I112" s="1"/>
    </row>
    <row r="113" spans="1:9">
      <c r="A113" s="94">
        <v>20</v>
      </c>
      <c r="B113" s="106" t="s">
        <v>960</v>
      </c>
      <c r="C113" s="1" t="s">
        <v>1143</v>
      </c>
      <c r="D113" s="7">
        <v>9237</v>
      </c>
      <c r="F113" s="106" t="s">
        <v>743</v>
      </c>
      <c r="G113" s="1"/>
      <c r="I113" s="1"/>
    </row>
    <row r="114" spans="1:9">
      <c r="A114" s="94">
        <v>21</v>
      </c>
      <c r="B114" s="106" t="s">
        <v>961</v>
      </c>
      <c r="C114" s="1" t="s">
        <v>1144</v>
      </c>
      <c r="D114" s="7">
        <v>9225</v>
      </c>
      <c r="F114" s="106" t="s">
        <v>741</v>
      </c>
      <c r="G114" s="1"/>
      <c r="I114" s="1"/>
    </row>
    <row r="115" spans="1:9">
      <c r="A115" s="94">
        <v>22</v>
      </c>
      <c r="B115" s="106" t="s">
        <v>962</v>
      </c>
      <c r="C115" s="1" t="s">
        <v>1145</v>
      </c>
      <c r="D115" s="7">
        <v>7324</v>
      </c>
      <c r="F115" s="106" t="s">
        <v>741</v>
      </c>
      <c r="G115" s="1"/>
      <c r="I115" s="1"/>
    </row>
    <row r="116" spans="1:9">
      <c r="A116" s="94">
        <v>23</v>
      </c>
      <c r="B116" s="106" t="s">
        <v>963</v>
      </c>
      <c r="C116" s="1" t="s">
        <v>1146</v>
      </c>
      <c r="D116" s="8">
        <v>8166</v>
      </c>
      <c r="F116" s="106" t="s">
        <v>549</v>
      </c>
      <c r="G116" s="1"/>
      <c r="I116" s="1"/>
    </row>
    <row r="117" spans="1:9">
      <c r="A117" s="94">
        <v>24</v>
      </c>
      <c r="B117" s="106" t="s">
        <v>964</v>
      </c>
      <c r="C117" s="1" t="s">
        <v>1147</v>
      </c>
      <c r="D117" s="8">
        <v>9827</v>
      </c>
      <c r="F117" s="106" t="s">
        <v>550</v>
      </c>
      <c r="G117" s="1"/>
      <c r="I117" s="1"/>
    </row>
    <row r="118" spans="1:9">
      <c r="A118" s="94">
        <v>25</v>
      </c>
      <c r="B118" s="106" t="s">
        <v>965</v>
      </c>
      <c r="C118" s="1" t="s">
        <v>1148</v>
      </c>
      <c r="D118" s="7">
        <v>8051</v>
      </c>
      <c r="F118" s="106" t="s">
        <v>741</v>
      </c>
      <c r="G118" s="1"/>
      <c r="I118" s="1"/>
    </row>
    <row r="119" spans="1:9">
      <c r="A119" s="94">
        <v>26</v>
      </c>
      <c r="B119" s="106" t="s">
        <v>966</v>
      </c>
      <c r="C119" s="1" t="s">
        <v>1149</v>
      </c>
      <c r="D119" s="8">
        <v>8461</v>
      </c>
      <c r="F119" s="106" t="s">
        <v>550</v>
      </c>
      <c r="G119" s="1"/>
      <c r="I119" s="1"/>
    </row>
    <row r="120" spans="1:9">
      <c r="A120" s="94">
        <v>27</v>
      </c>
      <c r="B120" s="106" t="s">
        <v>967</v>
      </c>
      <c r="C120" s="1" t="s">
        <v>1150</v>
      </c>
      <c r="D120" s="7">
        <v>9040</v>
      </c>
      <c r="F120" s="106" t="s">
        <v>743</v>
      </c>
      <c r="G120" s="1"/>
      <c r="I120" s="1"/>
    </row>
    <row r="121" spans="1:9">
      <c r="A121" s="94">
        <v>28</v>
      </c>
      <c r="B121" s="106" t="s">
        <v>968</v>
      </c>
      <c r="C121" s="1" t="s">
        <v>1151</v>
      </c>
      <c r="D121" s="7">
        <v>8302</v>
      </c>
      <c r="F121" s="106" t="s">
        <v>743</v>
      </c>
      <c r="G121" s="1"/>
      <c r="I121" s="1"/>
    </row>
    <row r="122" spans="1:9">
      <c r="A122" s="94">
        <v>29</v>
      </c>
      <c r="B122" s="106" t="s">
        <v>969</v>
      </c>
      <c r="C122" s="1" t="s">
        <v>1152</v>
      </c>
      <c r="D122" s="7">
        <v>7844</v>
      </c>
      <c r="F122" s="106" t="s">
        <v>741</v>
      </c>
      <c r="G122" s="1"/>
      <c r="I122" s="1"/>
    </row>
    <row r="123" spans="1:9">
      <c r="A123" s="94">
        <v>30</v>
      </c>
      <c r="B123" s="106" t="s">
        <v>970</v>
      </c>
      <c r="C123" s="1" t="s">
        <v>1153</v>
      </c>
      <c r="D123" s="8">
        <v>9266</v>
      </c>
      <c r="F123" s="106" t="s">
        <v>549</v>
      </c>
      <c r="G123" s="1"/>
      <c r="I123" s="1"/>
    </row>
    <row r="124" spans="1:9">
      <c r="A124" s="94">
        <v>31</v>
      </c>
      <c r="B124" s="106" t="s">
        <v>971</v>
      </c>
      <c r="C124" s="1" t="s">
        <v>1154</v>
      </c>
      <c r="D124" s="7">
        <v>8400</v>
      </c>
      <c r="F124" s="106" t="s">
        <v>743</v>
      </c>
      <c r="G124" s="1"/>
      <c r="I124" s="1"/>
    </row>
    <row r="125" spans="1:9">
      <c r="A125" s="94">
        <v>32</v>
      </c>
      <c r="B125" s="106" t="s">
        <v>972</v>
      </c>
      <c r="C125" s="1" t="s">
        <v>1155</v>
      </c>
      <c r="D125" s="8">
        <v>7254</v>
      </c>
      <c r="F125" s="106" t="s">
        <v>741</v>
      </c>
      <c r="G125" s="1"/>
      <c r="I125" s="1"/>
    </row>
    <row r="126" spans="1:9">
      <c r="A126" s="94">
        <v>33</v>
      </c>
      <c r="B126" s="106" t="s">
        <v>973</v>
      </c>
      <c r="C126" s="1" t="s">
        <v>1156</v>
      </c>
      <c r="D126" s="8">
        <v>8023</v>
      </c>
      <c r="F126" s="106" t="s">
        <v>741</v>
      </c>
      <c r="G126" s="1"/>
      <c r="I126" s="1"/>
    </row>
    <row r="127" spans="1:9">
      <c r="A127" s="94">
        <v>34</v>
      </c>
      <c r="B127" s="106" t="s">
        <v>974</v>
      </c>
      <c r="C127" s="1" t="s">
        <v>1157</v>
      </c>
      <c r="D127" s="8">
        <v>7907</v>
      </c>
      <c r="F127" s="106" t="s">
        <v>549</v>
      </c>
      <c r="G127" s="1"/>
      <c r="I127" s="1"/>
    </row>
    <row r="128" spans="1:9">
      <c r="A128" s="94">
        <v>35</v>
      </c>
      <c r="B128" s="106" t="s">
        <v>975</v>
      </c>
      <c r="C128" s="1" t="s">
        <v>1158</v>
      </c>
      <c r="D128" s="8">
        <v>9199</v>
      </c>
      <c r="F128" s="106" t="s">
        <v>549</v>
      </c>
      <c r="G128" s="1"/>
      <c r="I128" s="1"/>
    </row>
    <row r="129" spans="1:6">
      <c r="D129" s="111"/>
    </row>
    <row r="130" spans="1:6">
      <c r="A130" s="106" t="s">
        <v>743</v>
      </c>
      <c r="D130" s="111">
        <f>D99+D100+D105+D106+D108+D113+D120+D121+D124</f>
        <v>76627</v>
      </c>
    </row>
    <row r="131" spans="1:6">
      <c r="A131" s="106" t="s">
        <v>741</v>
      </c>
      <c r="D131" s="111">
        <f>D95+D110+D112+D114+D115+D118+D122+D125+D126</f>
        <v>71869</v>
      </c>
    </row>
    <row r="132" spans="1:6">
      <c r="A132" s="106" t="s">
        <v>549</v>
      </c>
      <c r="D132" s="111">
        <f>D96+D98+D107+D109+D111+D116+D123+D127+D128</f>
        <v>78060</v>
      </c>
    </row>
    <row r="133" spans="1:6">
      <c r="A133" s="106" t="s">
        <v>550</v>
      </c>
      <c r="D133" s="111">
        <f>D94+D97+SUM(D101:D104)+D117+D119</f>
        <v>73639</v>
      </c>
    </row>
    <row r="134" spans="1:6">
      <c r="D134" s="111"/>
    </row>
    <row r="135" spans="1:6">
      <c r="A135" s="107" t="s">
        <v>976</v>
      </c>
      <c r="D135" s="123"/>
    </row>
    <row r="136" spans="1:6">
      <c r="A136" s="106"/>
      <c r="B136" s="106"/>
      <c r="D136" s="123"/>
    </row>
    <row r="137" spans="1:6">
      <c r="A137" s="106"/>
      <c r="B137" s="106"/>
      <c r="D137" s="123"/>
    </row>
    <row r="138" spans="1:6">
      <c r="D138" s="10" t="s">
        <v>285</v>
      </c>
      <c r="E138" s="11"/>
      <c r="F138" s="5" t="s">
        <v>1842</v>
      </c>
    </row>
    <row r="139" spans="1:6">
      <c r="D139" s="10">
        <v>2016</v>
      </c>
      <c r="E139" s="9"/>
      <c r="F139" s="12" t="s">
        <v>286</v>
      </c>
    </row>
    <row r="140" spans="1:6">
      <c r="A140" s="106" t="s">
        <v>852</v>
      </c>
      <c r="D140" s="108">
        <f>SUM(D141:D175)</f>
        <v>151312</v>
      </c>
    </row>
    <row r="141" spans="1:6">
      <c r="A141" s="94">
        <v>1</v>
      </c>
      <c r="B141" s="106" t="s">
        <v>658</v>
      </c>
      <c r="C141" s="1" t="s">
        <v>2224</v>
      </c>
      <c r="D141" s="7">
        <v>3514</v>
      </c>
      <c r="F141" s="106" t="s">
        <v>853</v>
      </c>
    </row>
    <row r="142" spans="1:6">
      <c r="A142" s="94">
        <v>2</v>
      </c>
      <c r="B142" s="106" t="s">
        <v>2226</v>
      </c>
      <c r="C142" s="1" t="s">
        <v>2245</v>
      </c>
      <c r="D142" s="8">
        <v>5802</v>
      </c>
      <c r="F142" s="106" t="s">
        <v>2326</v>
      </c>
    </row>
    <row r="143" spans="1:6">
      <c r="A143" s="94">
        <v>3</v>
      </c>
      <c r="B143" s="106" t="s">
        <v>2227</v>
      </c>
      <c r="C143" s="1" t="s">
        <v>2246</v>
      </c>
      <c r="D143" s="8">
        <v>2998</v>
      </c>
      <c r="F143" s="106" t="s">
        <v>2326</v>
      </c>
    </row>
    <row r="144" spans="1:6">
      <c r="A144" s="94">
        <v>4</v>
      </c>
      <c r="B144" s="106" t="s">
        <v>448</v>
      </c>
      <c r="C144" s="1" t="s">
        <v>2247</v>
      </c>
      <c r="D144" s="7">
        <v>3153</v>
      </c>
      <c r="F144" s="106" t="s">
        <v>853</v>
      </c>
    </row>
    <row r="145" spans="1:6">
      <c r="A145" s="94">
        <v>5</v>
      </c>
      <c r="B145" s="106" t="s">
        <v>449</v>
      </c>
      <c r="C145" s="1" t="s">
        <v>2248</v>
      </c>
      <c r="D145" s="7">
        <v>3218</v>
      </c>
      <c r="F145" s="106" t="s">
        <v>853</v>
      </c>
    </row>
    <row r="146" spans="1:6">
      <c r="A146" s="94">
        <v>6</v>
      </c>
      <c r="B146" s="106" t="s">
        <v>450</v>
      </c>
      <c r="C146" s="1" t="s">
        <v>2249</v>
      </c>
      <c r="D146" s="7">
        <v>3346</v>
      </c>
      <c r="F146" s="106" t="s">
        <v>853</v>
      </c>
    </row>
    <row r="147" spans="1:6">
      <c r="A147" s="94">
        <v>7</v>
      </c>
      <c r="B147" s="106" t="s">
        <v>451</v>
      </c>
      <c r="C147" s="1" t="s">
        <v>2250</v>
      </c>
      <c r="D147" s="7">
        <v>3091</v>
      </c>
      <c r="F147" s="106" t="s">
        <v>853</v>
      </c>
    </row>
    <row r="148" spans="1:6">
      <c r="A148" s="94">
        <v>8</v>
      </c>
      <c r="B148" s="106" t="s">
        <v>452</v>
      </c>
      <c r="C148" s="1" t="s">
        <v>2251</v>
      </c>
      <c r="D148" s="7">
        <v>3156</v>
      </c>
      <c r="F148" s="106" t="s">
        <v>853</v>
      </c>
    </row>
    <row r="149" spans="1:6">
      <c r="A149" s="94">
        <v>9</v>
      </c>
      <c r="B149" s="106" t="s">
        <v>2228</v>
      </c>
      <c r="C149" s="1" t="s">
        <v>2252</v>
      </c>
      <c r="D149" s="8">
        <v>3007</v>
      </c>
      <c r="F149" s="106" t="s">
        <v>2326</v>
      </c>
    </row>
    <row r="150" spans="1:6">
      <c r="A150" s="94">
        <v>10</v>
      </c>
      <c r="B150" s="106" t="s">
        <v>2229</v>
      </c>
      <c r="C150" s="1" t="s">
        <v>2253</v>
      </c>
      <c r="D150" s="7">
        <v>3370</v>
      </c>
      <c r="F150" s="106" t="s">
        <v>853</v>
      </c>
    </row>
    <row r="151" spans="1:6">
      <c r="A151" s="94">
        <v>11</v>
      </c>
      <c r="B151" s="106" t="s">
        <v>2230</v>
      </c>
      <c r="C151" s="1" t="s">
        <v>2254</v>
      </c>
      <c r="D151" s="8">
        <v>5455</v>
      </c>
      <c r="F151" s="106" t="s">
        <v>2326</v>
      </c>
    </row>
    <row r="152" spans="1:6">
      <c r="A152" s="94">
        <v>12</v>
      </c>
      <c r="B152" s="106" t="s">
        <v>2231</v>
      </c>
      <c r="C152" s="1" t="s">
        <v>2255</v>
      </c>
      <c r="D152" s="7">
        <v>6267</v>
      </c>
      <c r="F152" s="106" t="s">
        <v>853</v>
      </c>
    </row>
    <row r="153" spans="1:6">
      <c r="A153" s="94">
        <v>13</v>
      </c>
      <c r="B153" s="106" t="s">
        <v>2232</v>
      </c>
      <c r="C153" s="1" t="s">
        <v>2256</v>
      </c>
      <c r="D153" s="7">
        <v>3330</v>
      </c>
      <c r="F153" s="106" t="s">
        <v>853</v>
      </c>
    </row>
    <row r="154" spans="1:6">
      <c r="A154" s="94">
        <v>14</v>
      </c>
      <c r="B154" s="106" t="s">
        <v>2233</v>
      </c>
      <c r="C154" s="1" t="s">
        <v>2257</v>
      </c>
      <c r="D154" s="7">
        <v>2931</v>
      </c>
      <c r="F154" s="106" t="s">
        <v>853</v>
      </c>
    </row>
    <row r="155" spans="1:6">
      <c r="A155" s="94">
        <v>15</v>
      </c>
      <c r="B155" s="106" t="s">
        <v>2234</v>
      </c>
      <c r="C155" s="1" t="s">
        <v>2258</v>
      </c>
      <c r="D155" s="7">
        <v>3226</v>
      </c>
      <c r="F155" s="106" t="s">
        <v>853</v>
      </c>
    </row>
    <row r="156" spans="1:6">
      <c r="A156" s="94">
        <v>16</v>
      </c>
      <c r="B156" s="106" t="s">
        <v>2235</v>
      </c>
      <c r="C156" s="1" t="s">
        <v>2259</v>
      </c>
      <c r="D156" s="7">
        <v>2757</v>
      </c>
      <c r="F156" s="106" t="s">
        <v>853</v>
      </c>
    </row>
    <row r="157" spans="1:6">
      <c r="A157" s="94">
        <v>17</v>
      </c>
      <c r="B157" s="106" t="s">
        <v>659</v>
      </c>
      <c r="C157" s="1" t="s">
        <v>2260</v>
      </c>
      <c r="D157" s="7">
        <v>3255</v>
      </c>
      <c r="F157" s="106" t="s">
        <v>853</v>
      </c>
    </row>
    <row r="158" spans="1:6">
      <c r="A158" s="94">
        <v>18</v>
      </c>
      <c r="B158" s="107" t="s">
        <v>660</v>
      </c>
      <c r="C158" s="1" t="s">
        <v>2261</v>
      </c>
      <c r="D158" s="7">
        <v>4926</v>
      </c>
      <c r="F158" s="106" t="s">
        <v>853</v>
      </c>
    </row>
    <row r="159" spans="1:6">
      <c r="A159" s="94">
        <v>19</v>
      </c>
      <c r="B159" s="106" t="s">
        <v>2236</v>
      </c>
      <c r="C159" s="1" t="s">
        <v>2262</v>
      </c>
      <c r="D159" s="7">
        <v>3659</v>
      </c>
      <c r="F159" s="106" t="s">
        <v>853</v>
      </c>
    </row>
    <row r="160" spans="1:6">
      <c r="A160" s="94">
        <v>20</v>
      </c>
      <c r="B160" s="106" t="s">
        <v>2237</v>
      </c>
      <c r="C160" s="1" t="s">
        <v>2263</v>
      </c>
      <c r="D160" s="8">
        <v>3191</v>
      </c>
      <c r="F160" s="106" t="s">
        <v>853</v>
      </c>
    </row>
    <row r="161" spans="1:6">
      <c r="A161" s="94">
        <v>21</v>
      </c>
      <c r="B161" s="106" t="s">
        <v>453</v>
      </c>
      <c r="C161" s="1" t="s">
        <v>2264</v>
      </c>
      <c r="D161" s="8">
        <v>6948</v>
      </c>
      <c r="F161" s="106" t="s">
        <v>853</v>
      </c>
    </row>
    <row r="162" spans="1:6">
      <c r="A162" s="94">
        <v>22</v>
      </c>
      <c r="B162" s="106" t="s">
        <v>2238</v>
      </c>
      <c r="C162" s="1" t="s">
        <v>2265</v>
      </c>
      <c r="D162" s="8">
        <v>5514</v>
      </c>
      <c r="F162" s="106" t="s">
        <v>2326</v>
      </c>
    </row>
    <row r="163" spans="1:6">
      <c r="A163" s="94">
        <v>23</v>
      </c>
      <c r="B163" s="106" t="s">
        <v>1159</v>
      </c>
      <c r="C163" s="1" t="s">
        <v>2266</v>
      </c>
      <c r="D163" s="8">
        <v>5364</v>
      </c>
      <c r="F163" s="106" t="s">
        <v>2326</v>
      </c>
    </row>
    <row r="164" spans="1:6">
      <c r="A164" s="94">
        <v>24</v>
      </c>
      <c r="B164" s="106" t="s">
        <v>4035</v>
      </c>
      <c r="C164" s="1" t="s">
        <v>2267</v>
      </c>
      <c r="D164" s="8">
        <v>5854</v>
      </c>
      <c r="F164" s="106" t="s">
        <v>2326</v>
      </c>
    </row>
    <row r="165" spans="1:6">
      <c r="A165" s="94">
        <v>25</v>
      </c>
      <c r="B165" s="106" t="s">
        <v>2239</v>
      </c>
      <c r="C165" s="1" t="s">
        <v>2268</v>
      </c>
      <c r="D165" s="8">
        <v>6392</v>
      </c>
      <c r="F165" s="106" t="s">
        <v>2326</v>
      </c>
    </row>
    <row r="166" spans="1:6">
      <c r="A166" s="94">
        <v>26</v>
      </c>
      <c r="B166" s="106" t="s">
        <v>2240</v>
      </c>
      <c r="C166" s="1" t="s">
        <v>2269</v>
      </c>
      <c r="D166" s="8">
        <v>2959</v>
      </c>
      <c r="F166" s="106" t="s">
        <v>2326</v>
      </c>
    </row>
    <row r="167" spans="1:6">
      <c r="A167" s="94">
        <v>27</v>
      </c>
      <c r="B167" s="106" t="s">
        <v>2241</v>
      </c>
      <c r="C167" s="1" t="s">
        <v>2270</v>
      </c>
      <c r="D167" s="8">
        <v>6406</v>
      </c>
      <c r="F167" s="106" t="s">
        <v>2326</v>
      </c>
    </row>
    <row r="168" spans="1:6">
      <c r="A168" s="94">
        <v>28</v>
      </c>
      <c r="B168" s="106" t="s">
        <v>1160</v>
      </c>
      <c r="C168" s="1" t="s">
        <v>2271</v>
      </c>
      <c r="D168" s="8">
        <v>5945</v>
      </c>
      <c r="F168" s="106" t="s">
        <v>2326</v>
      </c>
    </row>
    <row r="169" spans="1:6">
      <c r="A169" s="94">
        <v>29</v>
      </c>
      <c r="B169" s="106" t="s">
        <v>1161</v>
      </c>
      <c r="C169" s="1" t="s">
        <v>2272</v>
      </c>
      <c r="D169" s="8">
        <v>5975</v>
      </c>
      <c r="F169" s="106" t="s">
        <v>2326</v>
      </c>
    </row>
    <row r="170" spans="1:6">
      <c r="A170" s="94">
        <v>30</v>
      </c>
      <c r="B170" s="106" t="s">
        <v>2242</v>
      </c>
      <c r="C170" s="1" t="s">
        <v>2273</v>
      </c>
      <c r="D170" s="8">
        <v>6090</v>
      </c>
      <c r="F170" s="106" t="s">
        <v>2326</v>
      </c>
    </row>
    <row r="171" spans="1:6">
      <c r="A171" s="94">
        <v>31</v>
      </c>
      <c r="B171" s="106" t="s">
        <v>2243</v>
      </c>
      <c r="C171" s="1" t="s">
        <v>2274</v>
      </c>
      <c r="D171" s="8">
        <v>4311</v>
      </c>
      <c r="F171" s="106" t="s">
        <v>2326</v>
      </c>
    </row>
    <row r="172" spans="1:6">
      <c r="A172" s="94">
        <v>32</v>
      </c>
      <c r="B172" s="106" t="s">
        <v>2244</v>
      </c>
      <c r="C172" s="1" t="s">
        <v>2275</v>
      </c>
      <c r="D172" s="8">
        <v>3261</v>
      </c>
      <c r="F172" s="106" t="s">
        <v>2326</v>
      </c>
    </row>
    <row r="173" spans="1:6">
      <c r="A173" s="94">
        <v>33</v>
      </c>
      <c r="B173" s="106" t="s">
        <v>454</v>
      </c>
      <c r="C173" s="1" t="s">
        <v>2276</v>
      </c>
      <c r="D173" s="8">
        <v>3239</v>
      </c>
      <c r="F173" s="106" t="s">
        <v>853</v>
      </c>
    </row>
    <row r="174" spans="1:6">
      <c r="A174" s="94">
        <v>34</v>
      </c>
      <c r="B174" s="106" t="s">
        <v>455</v>
      </c>
      <c r="C174" s="1" t="s">
        <v>2277</v>
      </c>
      <c r="D174" s="8">
        <v>3096</v>
      </c>
      <c r="F174" s="106" t="s">
        <v>853</v>
      </c>
    </row>
    <row r="175" spans="1:6">
      <c r="A175" s="94">
        <v>35</v>
      </c>
      <c r="B175" s="106" t="s">
        <v>456</v>
      </c>
      <c r="C175" s="1" t="s">
        <v>2278</v>
      </c>
      <c r="D175" s="8">
        <v>6306</v>
      </c>
      <c r="F175" s="106" t="s">
        <v>853</v>
      </c>
    </row>
    <row r="176" spans="1:6">
      <c r="A176" s="94"/>
      <c r="B176" s="106"/>
      <c r="C176" s="1"/>
      <c r="D176" s="8"/>
      <c r="F176" s="106"/>
    </row>
    <row r="177" spans="1:6">
      <c r="A177" s="106" t="s">
        <v>853</v>
      </c>
      <c r="D177" s="108">
        <f>D141+SUM(D144:D148)+D150+SUM(D152:D161)+SUM(D173:D175)</f>
        <v>75979</v>
      </c>
    </row>
    <row r="178" spans="1:6">
      <c r="A178" s="106" t="s">
        <v>2326</v>
      </c>
      <c r="D178" s="108">
        <f>D142+D143+D149+D151+SUM(D162:D172)</f>
        <v>75333</v>
      </c>
    </row>
    <row r="179" spans="1:6">
      <c r="A179" s="106"/>
      <c r="D179" s="108"/>
    </row>
    <row r="180" spans="1:6">
      <c r="A180" s="106" t="s">
        <v>2225</v>
      </c>
    </row>
    <row r="183" spans="1:6">
      <c r="D183" s="10" t="s">
        <v>285</v>
      </c>
      <c r="E183" s="11"/>
      <c r="F183" s="5" t="s">
        <v>1842</v>
      </c>
    </row>
    <row r="184" spans="1:6">
      <c r="D184" s="10">
        <v>2016</v>
      </c>
      <c r="E184" s="9"/>
      <c r="F184" s="12" t="s">
        <v>286</v>
      </c>
    </row>
    <row r="185" spans="1:6">
      <c r="A185" s="106" t="s">
        <v>655</v>
      </c>
      <c r="D185" s="109">
        <f>SUM(D186:D220)</f>
        <v>202593</v>
      </c>
    </row>
    <row r="186" spans="1:6">
      <c r="A186" s="94">
        <v>1</v>
      </c>
      <c r="B186" s="106" t="s">
        <v>442</v>
      </c>
      <c r="C186" s="1" t="s">
        <v>1162</v>
      </c>
      <c r="D186" s="7">
        <v>3254</v>
      </c>
      <c r="F186" s="107" t="s">
        <v>656</v>
      </c>
    </row>
    <row r="187" spans="1:6">
      <c r="A187" s="94">
        <v>2</v>
      </c>
      <c r="B187" s="106" t="s">
        <v>443</v>
      </c>
      <c r="C187" s="1" t="s">
        <v>1163</v>
      </c>
      <c r="D187" s="7">
        <v>2774</v>
      </c>
      <c r="F187" s="106" t="s">
        <v>145</v>
      </c>
    </row>
    <row r="188" spans="1:6">
      <c r="A188" s="94">
        <v>3</v>
      </c>
      <c r="B188" s="106" t="s">
        <v>444</v>
      </c>
      <c r="C188" s="1" t="s">
        <v>1164</v>
      </c>
      <c r="D188" s="8">
        <v>5815</v>
      </c>
      <c r="F188" s="106" t="s">
        <v>145</v>
      </c>
    </row>
    <row r="189" spans="1:6">
      <c r="A189" s="112">
        <v>4</v>
      </c>
      <c r="B189" s="107" t="s">
        <v>445</v>
      </c>
      <c r="C189" s="1" t="s">
        <v>1165</v>
      </c>
      <c r="D189" s="7">
        <v>5717</v>
      </c>
      <c r="F189" s="106" t="s">
        <v>656</v>
      </c>
    </row>
    <row r="190" spans="1:6">
      <c r="A190" s="94">
        <v>5</v>
      </c>
      <c r="B190" s="106" t="s">
        <v>446</v>
      </c>
      <c r="C190" s="1" t="s">
        <v>1166</v>
      </c>
      <c r="D190" s="7">
        <v>2835</v>
      </c>
      <c r="F190" s="107" t="s">
        <v>656</v>
      </c>
    </row>
    <row r="191" spans="1:6">
      <c r="A191" s="94">
        <v>6</v>
      </c>
      <c r="B191" s="106" t="s">
        <v>447</v>
      </c>
      <c r="C191" s="1" t="s">
        <v>1167</v>
      </c>
      <c r="D191" s="7">
        <v>6137</v>
      </c>
      <c r="F191" s="107" t="s">
        <v>656</v>
      </c>
    </row>
    <row r="192" spans="1:6">
      <c r="A192" s="94">
        <v>7</v>
      </c>
      <c r="B192" s="106" t="s">
        <v>185</v>
      </c>
      <c r="C192" s="1" t="s">
        <v>1168</v>
      </c>
      <c r="D192" s="8">
        <v>3145</v>
      </c>
      <c r="F192" s="106" t="s">
        <v>2327</v>
      </c>
    </row>
    <row r="193" spans="1:6">
      <c r="A193" s="94">
        <v>8</v>
      </c>
      <c r="B193" s="106" t="s">
        <v>186</v>
      </c>
      <c r="C193" s="1" t="s">
        <v>1169</v>
      </c>
      <c r="D193" s="8">
        <v>5454</v>
      </c>
      <c r="F193" s="106" t="s">
        <v>2327</v>
      </c>
    </row>
    <row r="194" spans="1:6">
      <c r="A194" s="94">
        <v>9</v>
      </c>
      <c r="B194" s="106" t="s">
        <v>187</v>
      </c>
      <c r="C194" s="1" t="s">
        <v>1170</v>
      </c>
      <c r="D194" s="8">
        <v>2725</v>
      </c>
      <c r="F194" s="106" t="s">
        <v>2327</v>
      </c>
    </row>
    <row r="195" spans="1:6">
      <c r="A195" s="94">
        <v>10</v>
      </c>
      <c r="B195" s="106" t="s">
        <v>188</v>
      </c>
      <c r="C195" s="1" t="s">
        <v>1171</v>
      </c>
      <c r="D195" s="8">
        <v>5778</v>
      </c>
      <c r="F195" s="106" t="s">
        <v>2327</v>
      </c>
    </row>
    <row r="196" spans="1:6">
      <c r="A196" s="94">
        <v>11</v>
      </c>
      <c r="B196" s="106" t="s">
        <v>189</v>
      </c>
      <c r="C196" s="1" t="s">
        <v>1172</v>
      </c>
      <c r="D196" s="7">
        <v>8777</v>
      </c>
      <c r="F196" s="106" t="s">
        <v>656</v>
      </c>
    </row>
    <row r="197" spans="1:6">
      <c r="A197" s="94">
        <v>12</v>
      </c>
      <c r="B197" s="106" t="s">
        <v>190</v>
      </c>
      <c r="C197" s="1" t="s">
        <v>1173</v>
      </c>
      <c r="D197" s="7">
        <v>9237</v>
      </c>
      <c r="F197" s="107" t="s">
        <v>145</v>
      </c>
    </row>
    <row r="198" spans="1:6">
      <c r="A198" s="94">
        <v>13</v>
      </c>
      <c r="B198" s="106" t="s">
        <v>191</v>
      </c>
      <c r="C198" s="1" t="s">
        <v>1174</v>
      </c>
      <c r="D198" s="7">
        <v>7506</v>
      </c>
      <c r="F198" s="107" t="s">
        <v>656</v>
      </c>
    </row>
    <row r="199" spans="1:6">
      <c r="A199" s="94">
        <v>14</v>
      </c>
      <c r="B199" s="106" t="s">
        <v>1837</v>
      </c>
      <c r="C199" s="1" t="s">
        <v>1175</v>
      </c>
      <c r="D199" s="8">
        <v>6040</v>
      </c>
      <c r="F199" s="106" t="s">
        <v>656</v>
      </c>
    </row>
    <row r="200" spans="1:6">
      <c r="A200" s="94">
        <v>15</v>
      </c>
      <c r="B200" s="106" t="s">
        <v>192</v>
      </c>
      <c r="C200" s="1" t="s">
        <v>1176</v>
      </c>
      <c r="D200" s="7">
        <v>4058</v>
      </c>
      <c r="F200" s="106" t="s">
        <v>656</v>
      </c>
    </row>
    <row r="201" spans="1:6">
      <c r="A201" s="94">
        <v>16</v>
      </c>
      <c r="B201" s="106" t="s">
        <v>193</v>
      </c>
      <c r="C201" s="1" t="s">
        <v>1177</v>
      </c>
      <c r="D201" s="7">
        <v>8882</v>
      </c>
      <c r="F201" s="106" t="s">
        <v>145</v>
      </c>
    </row>
    <row r="202" spans="1:6">
      <c r="A202" s="94">
        <v>17</v>
      </c>
      <c r="B202" s="106" t="s">
        <v>194</v>
      </c>
      <c r="C202" s="1" t="s">
        <v>1178</v>
      </c>
      <c r="D202" s="8">
        <v>8239</v>
      </c>
      <c r="F202" s="106" t="s">
        <v>145</v>
      </c>
    </row>
    <row r="203" spans="1:6">
      <c r="A203" s="112">
        <v>18</v>
      </c>
      <c r="B203" s="106" t="s">
        <v>195</v>
      </c>
      <c r="C203" s="1" t="s">
        <v>1179</v>
      </c>
      <c r="D203" s="8">
        <v>3101</v>
      </c>
      <c r="F203" s="106" t="s">
        <v>2327</v>
      </c>
    </row>
    <row r="204" spans="1:6">
      <c r="A204" s="94">
        <v>19</v>
      </c>
      <c r="B204" s="107" t="s">
        <v>174</v>
      </c>
      <c r="C204" s="1" t="s">
        <v>1180</v>
      </c>
      <c r="D204" s="8">
        <v>5727</v>
      </c>
      <c r="F204" s="106" t="s">
        <v>145</v>
      </c>
    </row>
    <row r="205" spans="1:6">
      <c r="A205" s="94">
        <v>20</v>
      </c>
      <c r="B205" s="106" t="s">
        <v>175</v>
      </c>
      <c r="C205" s="1" t="s">
        <v>1181</v>
      </c>
      <c r="D205" s="8">
        <v>5968</v>
      </c>
      <c r="F205" s="106" t="s">
        <v>145</v>
      </c>
    </row>
    <row r="206" spans="1:6">
      <c r="A206" s="94">
        <v>21</v>
      </c>
      <c r="B206" s="106" t="s">
        <v>176</v>
      </c>
      <c r="C206" s="1" t="s">
        <v>1182</v>
      </c>
      <c r="D206" s="8">
        <v>6139</v>
      </c>
      <c r="F206" s="107" t="s">
        <v>145</v>
      </c>
    </row>
    <row r="207" spans="1:6">
      <c r="A207" s="94">
        <v>22</v>
      </c>
      <c r="B207" s="106" t="s">
        <v>177</v>
      </c>
      <c r="C207" s="1" t="s">
        <v>1183</v>
      </c>
      <c r="D207" s="7">
        <v>7613</v>
      </c>
      <c r="F207" s="107" t="s">
        <v>656</v>
      </c>
    </row>
    <row r="208" spans="1:6">
      <c r="A208" s="94">
        <v>23</v>
      </c>
      <c r="B208" s="106" t="s">
        <v>178</v>
      </c>
      <c r="C208" s="1" t="s">
        <v>1184</v>
      </c>
      <c r="D208" s="7">
        <v>2777</v>
      </c>
      <c r="F208" s="106" t="s">
        <v>656</v>
      </c>
    </row>
    <row r="209" spans="1:6">
      <c r="A209" s="94">
        <v>24</v>
      </c>
      <c r="B209" s="106" t="s">
        <v>179</v>
      </c>
      <c r="C209" s="1" t="s">
        <v>1185</v>
      </c>
      <c r="D209" s="8">
        <v>8592</v>
      </c>
      <c r="F209" s="106" t="s">
        <v>145</v>
      </c>
    </row>
    <row r="210" spans="1:6">
      <c r="A210" s="94">
        <v>25</v>
      </c>
      <c r="B210" s="106" t="s">
        <v>912</v>
      </c>
      <c r="C210" s="1" t="s">
        <v>1186</v>
      </c>
      <c r="D210" s="8">
        <v>3010</v>
      </c>
      <c r="F210" s="106" t="s">
        <v>2327</v>
      </c>
    </row>
    <row r="211" spans="1:6">
      <c r="A211" s="94">
        <v>26</v>
      </c>
      <c r="B211" s="106" t="s">
        <v>180</v>
      </c>
      <c r="C211" s="1" t="s">
        <v>1187</v>
      </c>
      <c r="D211" s="8">
        <v>3623</v>
      </c>
      <c r="F211" s="107" t="s">
        <v>145</v>
      </c>
    </row>
    <row r="212" spans="1:6">
      <c r="A212" s="94">
        <v>27</v>
      </c>
      <c r="B212" s="106" t="s">
        <v>181</v>
      </c>
      <c r="C212" s="1" t="s">
        <v>1188</v>
      </c>
      <c r="D212" s="7">
        <v>5683</v>
      </c>
      <c r="F212" s="107" t="s">
        <v>656</v>
      </c>
    </row>
    <row r="213" spans="1:6">
      <c r="A213" s="94">
        <v>28</v>
      </c>
      <c r="B213" s="106" t="s">
        <v>182</v>
      </c>
      <c r="C213" s="1" t="s">
        <v>1189</v>
      </c>
      <c r="D213" s="7">
        <v>9029</v>
      </c>
      <c r="F213" s="106" t="s">
        <v>656</v>
      </c>
    </row>
    <row r="214" spans="1:6">
      <c r="A214" s="94">
        <v>29</v>
      </c>
      <c r="B214" s="106" t="s">
        <v>183</v>
      </c>
      <c r="C214" s="1" t="s">
        <v>1190</v>
      </c>
      <c r="D214" s="8">
        <v>6178</v>
      </c>
      <c r="F214" s="106" t="s">
        <v>2327</v>
      </c>
    </row>
    <row r="215" spans="1:6">
      <c r="A215" s="94">
        <v>30</v>
      </c>
      <c r="B215" s="106" t="s">
        <v>184</v>
      </c>
      <c r="C215" s="1" t="s">
        <v>1191</v>
      </c>
      <c r="D215" s="8">
        <v>5982</v>
      </c>
      <c r="F215" s="106" t="s">
        <v>2327</v>
      </c>
    </row>
    <row r="216" spans="1:6">
      <c r="A216" s="94">
        <v>31</v>
      </c>
      <c r="B216" s="106" t="s">
        <v>48</v>
      </c>
      <c r="C216" s="1" t="s">
        <v>1192</v>
      </c>
      <c r="D216" s="8">
        <v>3164</v>
      </c>
      <c r="F216" s="106" t="s">
        <v>2327</v>
      </c>
    </row>
    <row r="217" spans="1:6">
      <c r="A217" s="94">
        <v>32</v>
      </c>
      <c r="B217" s="106" t="s">
        <v>49</v>
      </c>
      <c r="C217" s="1" t="s">
        <v>1193</v>
      </c>
      <c r="D217" s="7">
        <v>6069</v>
      </c>
      <c r="F217" s="106" t="s">
        <v>656</v>
      </c>
    </row>
    <row r="218" spans="1:6">
      <c r="A218" s="94">
        <v>33</v>
      </c>
      <c r="B218" s="106" t="s">
        <v>391</v>
      </c>
      <c r="C218" s="1" t="s">
        <v>1194</v>
      </c>
      <c r="D218" s="8">
        <v>8388</v>
      </c>
      <c r="F218" s="106" t="s">
        <v>145</v>
      </c>
    </row>
    <row r="219" spans="1:6">
      <c r="A219" s="94">
        <v>34</v>
      </c>
      <c r="B219" s="106" t="s">
        <v>50</v>
      </c>
      <c r="C219" s="1" t="s">
        <v>1195</v>
      </c>
      <c r="D219" s="8">
        <v>6406</v>
      </c>
      <c r="F219" s="106" t="s">
        <v>2327</v>
      </c>
    </row>
    <row r="220" spans="1:6">
      <c r="A220" s="94">
        <v>35</v>
      </c>
      <c r="B220" s="106" t="s">
        <v>51</v>
      </c>
      <c r="C220" s="1" t="s">
        <v>1196</v>
      </c>
      <c r="D220" s="8">
        <v>8771</v>
      </c>
      <c r="F220" s="106" t="s">
        <v>2327</v>
      </c>
    </row>
    <row r="221" spans="1:6">
      <c r="A221" s="94"/>
      <c r="B221" s="106"/>
      <c r="C221" s="1"/>
      <c r="D221" s="8"/>
      <c r="F221" s="106"/>
    </row>
    <row r="222" spans="1:6">
      <c r="A222" s="106" t="s">
        <v>2328</v>
      </c>
      <c r="D222" s="108">
        <f>SUM(D192:D195)+D203+D210+SUM(D214:D216)+D219+D220</f>
        <v>53714</v>
      </c>
    </row>
    <row r="223" spans="1:6">
      <c r="A223" s="107" t="s">
        <v>656</v>
      </c>
      <c r="D223" s="111">
        <f>D186+SUM(D189:D191)+D196+SUM(D198:D200)+D207+D208+D212+D213+D217</f>
        <v>75495</v>
      </c>
    </row>
    <row r="224" spans="1:6">
      <c r="A224" s="106" t="s">
        <v>145</v>
      </c>
      <c r="D224" s="109">
        <f>D187+D188+D197+D201+D202+SUM(D204:D206)+D209+D211+D218</f>
        <v>73384</v>
      </c>
    </row>
    <row r="225" spans="1:4">
      <c r="D225" s="111"/>
    </row>
    <row r="226" spans="1:4">
      <c r="A226" s="106" t="s">
        <v>52</v>
      </c>
    </row>
  </sheetData>
  <phoneticPr fontId="5" type="noConversion"/>
  <printOptions gridLinesSet="0"/>
  <pageMargins left="0.78740157480314965" right="0" top="0.51181102362204722" bottom="0.51181102362204722" header="0.51181102362204722" footer="0.51181102362204722"/>
  <pageSetup paperSize="9" scale="79" orientation="portrait" horizontalDpi="300" verticalDpi="300" r:id="rId1"/>
  <headerFooter alignWithMargins="0">
    <oddFooter>&amp;C&amp;"Times New Roman,Regular"&amp;8&amp;P of &amp;N</oddFooter>
  </headerFooter>
  <ignoredErrors>
    <ignoredError sqref="D10 D93 D85:D86 D46 D140 D3:D6 D177:D178 D185 D16 D14 D12 D11 D13 D15 D17 D224 D222 D38 D39 D28 D21 D36 D35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35"/>
  <sheetViews>
    <sheetView showGridLines="0" zoomScaleNormal="100" workbookViewId="0"/>
  </sheetViews>
  <sheetFormatPr defaultColWidth="10" defaultRowHeight="14.5"/>
  <cols>
    <col min="1" max="1" width="4.8984375" style="493" customWidth="1"/>
    <col min="2" max="2" width="35.8984375" style="493" customWidth="1"/>
    <col min="3" max="3" width="11.59765625" style="493" customWidth="1"/>
    <col min="4" max="4" width="10" style="493" customWidth="1"/>
    <col min="5" max="5" width="2.296875" style="493" customWidth="1"/>
    <col min="6" max="6" width="25.69921875" style="493" customWidth="1"/>
    <col min="7" max="16384" width="10" style="493"/>
  </cols>
  <sheetData>
    <row r="1" spans="1:6">
      <c r="A1" s="492" t="s">
        <v>9176</v>
      </c>
      <c r="D1" s="494">
        <v>2016</v>
      </c>
    </row>
    <row r="3" spans="1:6">
      <c r="A3" s="492" t="s">
        <v>9648</v>
      </c>
      <c r="D3" s="495">
        <f t="shared" ref="D3" si="0">SUM(D17:D33)</f>
        <v>160503</v>
      </c>
    </row>
    <row r="4" spans="1:6">
      <c r="A4" s="492"/>
      <c r="D4" s="495"/>
      <c r="F4" s="496"/>
    </row>
    <row r="5" spans="1:6">
      <c r="A5" s="492" t="s">
        <v>9649</v>
      </c>
      <c r="D5" s="495">
        <f>SUM(D20:D23)+D26+D27+D30+D32</f>
        <v>71122</v>
      </c>
      <c r="F5" s="492" t="s">
        <v>9268</v>
      </c>
    </row>
    <row r="6" spans="1:6">
      <c r="D6" s="497"/>
    </row>
    <row r="7" spans="1:6">
      <c r="A7" s="492" t="s">
        <v>9650</v>
      </c>
      <c r="D7" s="495">
        <f>D18+D25+D28</f>
        <v>30638</v>
      </c>
      <c r="F7" s="492" t="s">
        <v>9268</v>
      </c>
    </row>
    <row r="8" spans="1:6" ht="15" thickBot="1">
      <c r="A8" s="492"/>
      <c r="D8" s="498">
        <f>LEWISHAM!D6</f>
        <v>46367</v>
      </c>
      <c r="F8" s="492" t="s">
        <v>9651</v>
      </c>
    </row>
    <row r="9" spans="1:6" ht="15" thickBot="1">
      <c r="A9" s="492"/>
      <c r="D9" s="499">
        <f>D7+D8</f>
        <v>77005</v>
      </c>
      <c r="F9" s="492"/>
    </row>
    <row r="10" spans="1:6">
      <c r="A10" s="492"/>
      <c r="D10" s="495"/>
      <c r="F10" s="492"/>
    </row>
    <row r="11" spans="1:6">
      <c r="A11" s="421" t="s">
        <v>9267</v>
      </c>
      <c r="D11" s="495">
        <f>BEXLEY!D9</f>
        <v>15679</v>
      </c>
      <c r="F11" s="492" t="s">
        <v>9265</v>
      </c>
    </row>
    <row r="12" spans="1:6" ht="15" thickBot="1">
      <c r="D12" s="498">
        <f>D17+D19+D24+D29+D31+D33</f>
        <v>58743</v>
      </c>
      <c r="F12" s="492" t="s">
        <v>9268</v>
      </c>
    </row>
    <row r="13" spans="1:6" ht="15" thickBot="1">
      <c r="D13" s="498">
        <f t="shared" ref="D13" si="1">D11+D12</f>
        <v>74422</v>
      </c>
    </row>
    <row r="14" spans="1:6">
      <c r="D14" s="497"/>
    </row>
    <row r="15" spans="1:6">
      <c r="A15" s="492" t="s">
        <v>1041</v>
      </c>
      <c r="D15" s="495">
        <f>D5+D7+D12</f>
        <v>160503</v>
      </c>
    </row>
    <row r="16" spans="1:6">
      <c r="D16" s="497"/>
    </row>
    <row r="17" spans="1:11">
      <c r="A17" s="492" t="s">
        <v>812</v>
      </c>
      <c r="B17" s="492" t="s">
        <v>9652</v>
      </c>
      <c r="C17" s="292" t="s">
        <v>9653</v>
      </c>
      <c r="D17" s="316">
        <v>9505</v>
      </c>
      <c r="F17" s="421" t="s">
        <v>9267</v>
      </c>
      <c r="I17" s="292"/>
      <c r="K17" s="292"/>
    </row>
    <row r="18" spans="1:11">
      <c r="A18" s="492" t="s">
        <v>813</v>
      </c>
      <c r="B18" s="492" t="s">
        <v>9654</v>
      </c>
      <c r="C18" s="292" t="s">
        <v>9655</v>
      </c>
      <c r="D18" s="316">
        <v>9103</v>
      </c>
      <c r="F18" s="492" t="s">
        <v>9650</v>
      </c>
      <c r="I18" s="292"/>
      <c r="K18" s="292"/>
    </row>
    <row r="19" spans="1:11">
      <c r="A19" s="492" t="s">
        <v>814</v>
      </c>
      <c r="B19" s="492" t="s">
        <v>9656</v>
      </c>
      <c r="C19" s="292" t="s">
        <v>9657</v>
      </c>
      <c r="D19" s="316">
        <v>9235</v>
      </c>
      <c r="F19" s="421" t="s">
        <v>9267</v>
      </c>
      <c r="I19" s="292"/>
      <c r="K19" s="292"/>
    </row>
    <row r="20" spans="1:11">
      <c r="A20" s="492" t="s">
        <v>815</v>
      </c>
      <c r="B20" s="492" t="s">
        <v>9658</v>
      </c>
      <c r="C20" s="292" t="s">
        <v>9659</v>
      </c>
      <c r="D20" s="316">
        <v>9407</v>
      </c>
      <c r="F20" s="492" t="s">
        <v>9649</v>
      </c>
      <c r="I20" s="292"/>
      <c r="K20" s="292"/>
    </row>
    <row r="21" spans="1:11">
      <c r="A21" s="492" t="s">
        <v>816</v>
      </c>
      <c r="B21" s="492" t="s">
        <v>9660</v>
      </c>
      <c r="C21" s="292" t="s">
        <v>9661</v>
      </c>
      <c r="D21" s="316">
        <v>9306</v>
      </c>
      <c r="F21" s="492" t="s">
        <v>9649</v>
      </c>
      <c r="I21" s="292"/>
      <c r="K21" s="292"/>
    </row>
    <row r="22" spans="1:11">
      <c r="A22" s="492" t="s">
        <v>826</v>
      </c>
      <c r="B22" s="492" t="s">
        <v>9662</v>
      </c>
      <c r="C22" s="292" t="s">
        <v>9663</v>
      </c>
      <c r="D22" s="316">
        <v>8252</v>
      </c>
      <c r="F22" s="492" t="s">
        <v>9649</v>
      </c>
      <c r="I22" s="292"/>
      <c r="K22" s="292"/>
    </row>
    <row r="23" spans="1:11">
      <c r="A23" s="492" t="s">
        <v>827</v>
      </c>
      <c r="B23" s="492" t="s">
        <v>9664</v>
      </c>
      <c r="C23" s="292" t="s">
        <v>9665</v>
      </c>
      <c r="D23" s="316">
        <v>7750</v>
      </c>
      <c r="F23" s="492" t="s">
        <v>9649</v>
      </c>
      <c r="I23" s="292"/>
      <c r="K23" s="292"/>
    </row>
    <row r="24" spans="1:11">
      <c r="A24" s="492" t="s">
        <v>828</v>
      </c>
      <c r="B24" s="492" t="s">
        <v>9666</v>
      </c>
      <c r="C24" s="292" t="s">
        <v>9667</v>
      </c>
      <c r="D24" s="316">
        <v>9788</v>
      </c>
      <c r="F24" s="421" t="s">
        <v>9267</v>
      </c>
      <c r="I24" s="292"/>
      <c r="K24" s="292"/>
    </row>
    <row r="25" spans="1:11">
      <c r="A25" s="492" t="s">
        <v>829</v>
      </c>
      <c r="B25" s="492" t="s">
        <v>9668</v>
      </c>
      <c r="C25" s="292" t="s">
        <v>9669</v>
      </c>
      <c r="D25" s="316">
        <v>11499</v>
      </c>
      <c r="F25" s="492" t="s">
        <v>9650</v>
      </c>
      <c r="I25" s="292"/>
      <c r="K25" s="292"/>
    </row>
    <row r="26" spans="1:11">
      <c r="A26" s="492" t="s">
        <v>830</v>
      </c>
      <c r="B26" s="492" t="s">
        <v>9670</v>
      </c>
      <c r="C26" s="292" t="s">
        <v>9671</v>
      </c>
      <c r="D26" s="316">
        <v>9180</v>
      </c>
      <c r="F26" s="492" t="s">
        <v>9649</v>
      </c>
      <c r="I26" s="292"/>
      <c r="K26" s="292"/>
    </row>
    <row r="27" spans="1:11">
      <c r="A27" s="492" t="s">
        <v>831</v>
      </c>
      <c r="B27" s="492" t="s">
        <v>9672</v>
      </c>
      <c r="C27" s="292" t="s">
        <v>9673</v>
      </c>
      <c r="D27" s="316">
        <v>8920</v>
      </c>
      <c r="F27" s="492" t="s">
        <v>9649</v>
      </c>
      <c r="I27" s="292"/>
      <c r="K27" s="292"/>
    </row>
    <row r="28" spans="1:11">
      <c r="A28" s="492" t="s">
        <v>832</v>
      </c>
      <c r="B28" s="492" t="s">
        <v>9674</v>
      </c>
      <c r="C28" s="292" t="s">
        <v>9675</v>
      </c>
      <c r="D28" s="316">
        <v>10036</v>
      </c>
      <c r="F28" s="492" t="s">
        <v>9650</v>
      </c>
      <c r="I28" s="292"/>
      <c r="K28" s="292"/>
    </row>
    <row r="29" spans="1:11">
      <c r="A29" s="492" t="s">
        <v>833</v>
      </c>
      <c r="B29" s="492" t="s">
        <v>8482</v>
      </c>
      <c r="C29" s="292" t="s">
        <v>9676</v>
      </c>
      <c r="D29" s="316">
        <v>9485</v>
      </c>
      <c r="F29" s="421" t="s">
        <v>9267</v>
      </c>
      <c r="I29" s="292"/>
      <c r="K29" s="292"/>
    </row>
    <row r="30" spans="1:11">
      <c r="A30" s="492" t="s">
        <v>834</v>
      </c>
      <c r="B30" s="492" t="s">
        <v>9677</v>
      </c>
      <c r="C30" s="292" t="s">
        <v>9678</v>
      </c>
      <c r="D30" s="316">
        <v>8979</v>
      </c>
      <c r="F30" s="492" t="s">
        <v>9649</v>
      </c>
      <c r="I30" s="292"/>
      <c r="K30" s="292"/>
    </row>
    <row r="31" spans="1:11">
      <c r="A31" s="492" t="s">
        <v>835</v>
      </c>
      <c r="B31" s="492" t="s">
        <v>9679</v>
      </c>
      <c r="C31" s="292" t="s">
        <v>9680</v>
      </c>
      <c r="D31" s="316">
        <v>9966</v>
      </c>
      <c r="F31" s="421" t="s">
        <v>9267</v>
      </c>
      <c r="I31" s="292"/>
      <c r="K31" s="292"/>
    </row>
    <row r="32" spans="1:11">
      <c r="A32" s="492" t="s">
        <v>836</v>
      </c>
      <c r="B32" s="492" t="s">
        <v>9681</v>
      </c>
      <c r="C32" s="292" t="s">
        <v>9682</v>
      </c>
      <c r="D32" s="316">
        <v>9328</v>
      </c>
      <c r="F32" s="492" t="s">
        <v>9649</v>
      </c>
      <c r="I32" s="292"/>
      <c r="K32" s="292"/>
    </row>
    <row r="33" spans="1:11">
      <c r="A33" s="492" t="s">
        <v>837</v>
      </c>
      <c r="B33" s="492" t="s">
        <v>9683</v>
      </c>
      <c r="C33" s="292" t="s">
        <v>9684</v>
      </c>
      <c r="D33" s="316">
        <v>10764</v>
      </c>
      <c r="F33" s="421" t="s">
        <v>9267</v>
      </c>
      <c r="I33" s="292"/>
      <c r="K33" s="292"/>
    </row>
    <row r="34" spans="1:11">
      <c r="A34" s="492"/>
      <c r="B34" s="492"/>
      <c r="C34" s="492"/>
      <c r="D34" s="306"/>
      <c r="F34" s="492"/>
    </row>
    <row r="35" spans="1:11">
      <c r="A35" s="493" t="s">
        <v>9685</v>
      </c>
    </row>
  </sheetData>
  <printOptions gridLinesSet="0"/>
  <pageMargins left="0.78740157480314965" right="0" top="0.51181102362204722" bottom="0.51181102362204722" header="0.51181102362204722" footer="0.51181102362204722"/>
  <pageSetup paperSize="9" scale="70" orientation="portrait" horizontalDpi="300" verticalDpi="300" r:id="rId1"/>
  <headerFooter alignWithMargins="0">
    <oddFooter>&amp;C&amp;8&amp;P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9"/>
  <sheetViews>
    <sheetView showGridLines="0" zoomScaleNormal="100" workbookViewId="0"/>
  </sheetViews>
  <sheetFormatPr defaultColWidth="12.59765625" defaultRowHeight="14.5"/>
  <cols>
    <col min="1" max="1" width="4.8984375" style="501" customWidth="1"/>
    <col min="2" max="2" width="35.09765625" style="501" customWidth="1"/>
    <col min="3" max="3" width="11.59765625" style="501" customWidth="1"/>
    <col min="4" max="4" width="10" style="501" customWidth="1"/>
    <col min="5" max="5" width="2.296875" style="501" customWidth="1"/>
    <col min="6" max="6" width="38.09765625" style="501" customWidth="1"/>
    <col min="7" max="16384" width="12.59765625" style="501"/>
  </cols>
  <sheetData>
    <row r="1" spans="1:6">
      <c r="A1" s="500" t="s">
        <v>9176</v>
      </c>
      <c r="D1" s="502">
        <v>2016</v>
      </c>
    </row>
    <row r="3" spans="1:6">
      <c r="A3" s="500" t="s">
        <v>9686</v>
      </c>
      <c r="D3" s="503">
        <f>SUM(D17:D37)</f>
        <v>148344</v>
      </c>
    </row>
    <row r="4" spans="1:6">
      <c r="A4" s="500"/>
      <c r="D4" s="503"/>
      <c r="F4" s="504"/>
    </row>
    <row r="5" spans="1:6">
      <c r="A5" s="500" t="s">
        <v>9687</v>
      </c>
      <c r="D5" s="503">
        <f>D17+D19+D34+D35+D37</f>
        <v>32947</v>
      </c>
      <c r="F5" s="500" t="s">
        <v>9688</v>
      </c>
    </row>
    <row r="6" spans="1:6" ht="15" thickBot="1">
      <c r="D6" s="503">
        <f>ISLINGTON!D6</f>
        <v>44768</v>
      </c>
      <c r="F6" s="504" t="s">
        <v>9412</v>
      </c>
    </row>
    <row r="7" spans="1:6" ht="15" thickBot="1">
      <c r="A7" s="500"/>
      <c r="D7" s="505">
        <f>D5+D6</f>
        <v>77715</v>
      </c>
      <c r="F7" s="504"/>
    </row>
    <row r="8" spans="1:6">
      <c r="A8" s="500"/>
      <c r="D8" s="503"/>
      <c r="F8" s="504"/>
    </row>
    <row r="9" spans="1:6">
      <c r="A9" s="500" t="s">
        <v>9689</v>
      </c>
      <c r="D9" s="503">
        <f>D18+SUM(D22:D24)+D26+D29+D30+D32+D33+D36</f>
        <v>75824</v>
      </c>
      <c r="F9" s="500" t="s">
        <v>9688</v>
      </c>
    </row>
    <row r="10" spans="1:6">
      <c r="D10" s="506"/>
    </row>
    <row r="11" spans="1:6">
      <c r="A11" s="507" t="s">
        <v>9690</v>
      </c>
      <c r="D11" s="503">
        <f>D20+D21+D25+D27+D28+D31</f>
        <v>39573</v>
      </c>
      <c r="F11" s="500" t="s">
        <v>9688</v>
      </c>
    </row>
    <row r="12" spans="1:6" ht="15" thickBot="1">
      <c r="A12" s="500"/>
      <c r="D12" s="508">
        <f>'TOWER HAMLETS'!D10</f>
        <v>35876</v>
      </c>
      <c r="F12" s="500" t="s">
        <v>9691</v>
      </c>
    </row>
    <row r="13" spans="1:6" ht="15" thickBot="1">
      <c r="A13" s="500"/>
      <c r="D13" s="505">
        <f>D11+D12</f>
        <v>75449</v>
      </c>
      <c r="F13" s="500"/>
    </row>
    <row r="14" spans="1:6">
      <c r="D14" s="506"/>
    </row>
    <row r="15" spans="1:6">
      <c r="A15" s="500" t="s">
        <v>1041</v>
      </c>
      <c r="D15" s="503">
        <f>D5+D9+D11</f>
        <v>148344</v>
      </c>
    </row>
    <row r="16" spans="1:6">
      <c r="D16" s="506"/>
    </row>
    <row r="17" spans="1:10">
      <c r="A17" s="500" t="s">
        <v>812</v>
      </c>
      <c r="B17" s="500" t="s">
        <v>9692</v>
      </c>
      <c r="C17" s="306" t="s">
        <v>9693</v>
      </c>
      <c r="D17" s="293">
        <v>5233</v>
      </c>
      <c r="F17" s="500" t="s">
        <v>9687</v>
      </c>
      <c r="G17" s="509"/>
      <c r="I17" s="510"/>
      <c r="J17" s="500"/>
    </row>
    <row r="18" spans="1:10">
      <c r="A18" s="500" t="s">
        <v>813</v>
      </c>
      <c r="B18" s="500" t="s">
        <v>9694</v>
      </c>
      <c r="C18" s="306" t="s">
        <v>9695</v>
      </c>
      <c r="D18" s="293">
        <v>7737</v>
      </c>
      <c r="F18" s="500" t="s">
        <v>9689</v>
      </c>
      <c r="G18" s="509"/>
      <c r="I18" s="510"/>
      <c r="J18" s="500"/>
    </row>
    <row r="19" spans="1:10">
      <c r="A19" s="500" t="s">
        <v>814</v>
      </c>
      <c r="B19" s="500" t="s">
        <v>9696</v>
      </c>
      <c r="C19" s="306" t="s">
        <v>9697</v>
      </c>
      <c r="D19" s="293">
        <v>8255</v>
      </c>
      <c r="F19" s="500" t="s">
        <v>9687</v>
      </c>
      <c r="G19" s="509"/>
      <c r="I19" s="510"/>
      <c r="J19" s="500"/>
    </row>
    <row r="20" spans="1:10">
      <c r="A20" s="500" t="s">
        <v>815</v>
      </c>
      <c r="B20" s="500" t="s">
        <v>9698</v>
      </c>
      <c r="C20" s="306" t="s">
        <v>9699</v>
      </c>
      <c r="D20" s="293">
        <v>5215</v>
      </c>
      <c r="F20" s="507" t="s">
        <v>9690</v>
      </c>
      <c r="G20" s="509"/>
      <c r="I20" s="510"/>
      <c r="J20" s="500"/>
    </row>
    <row r="21" spans="1:10">
      <c r="A21" s="500" t="s">
        <v>816</v>
      </c>
      <c r="B21" s="500" t="s">
        <v>9700</v>
      </c>
      <c r="C21" s="306" t="s">
        <v>9701</v>
      </c>
      <c r="D21" s="293">
        <v>5668</v>
      </c>
      <c r="F21" s="507" t="s">
        <v>9690</v>
      </c>
      <c r="G21" s="511"/>
      <c r="I21" s="510"/>
      <c r="J21" s="500"/>
    </row>
    <row r="22" spans="1:10">
      <c r="A22" s="500" t="s">
        <v>826</v>
      </c>
      <c r="B22" s="500" t="s">
        <v>9702</v>
      </c>
      <c r="C22" s="306" t="s">
        <v>9703</v>
      </c>
      <c r="D22" s="511">
        <v>8046</v>
      </c>
      <c r="F22" s="500" t="s">
        <v>9689</v>
      </c>
      <c r="G22" s="509"/>
      <c r="I22" s="510"/>
      <c r="J22" s="500"/>
    </row>
    <row r="23" spans="1:10">
      <c r="A23" s="500" t="s">
        <v>827</v>
      </c>
      <c r="B23" s="500" t="s">
        <v>9704</v>
      </c>
      <c r="C23" s="306" t="s">
        <v>9705</v>
      </c>
      <c r="D23" s="293">
        <v>8078</v>
      </c>
      <c r="F23" s="500" t="s">
        <v>9689</v>
      </c>
      <c r="G23" s="509"/>
      <c r="H23" s="306"/>
      <c r="I23" s="510"/>
      <c r="J23" s="500"/>
    </row>
    <row r="24" spans="1:10">
      <c r="A24" s="500" t="s">
        <v>828</v>
      </c>
      <c r="B24" s="500" t="s">
        <v>9706</v>
      </c>
      <c r="C24" s="306" t="s">
        <v>9707</v>
      </c>
      <c r="D24" s="293">
        <v>7443</v>
      </c>
      <c r="F24" s="500" t="s">
        <v>9689</v>
      </c>
      <c r="G24" s="509"/>
      <c r="H24" s="306"/>
      <c r="I24" s="510"/>
      <c r="J24" s="500"/>
    </row>
    <row r="25" spans="1:10">
      <c r="A25" s="500" t="s">
        <v>829</v>
      </c>
      <c r="B25" s="500" t="s">
        <v>9708</v>
      </c>
      <c r="C25" s="306" t="s">
        <v>9709</v>
      </c>
      <c r="D25" s="295">
        <v>7821</v>
      </c>
      <c r="F25" s="507" t="s">
        <v>9690</v>
      </c>
      <c r="G25" s="509"/>
      <c r="H25" s="306"/>
      <c r="I25" s="510"/>
      <c r="J25" s="500"/>
    </row>
    <row r="26" spans="1:10">
      <c r="A26" s="500" t="s">
        <v>830</v>
      </c>
      <c r="B26" s="500" t="s">
        <v>9710</v>
      </c>
      <c r="C26" s="306" t="s">
        <v>9711</v>
      </c>
      <c r="D26" s="295">
        <v>7498</v>
      </c>
      <c r="F26" s="500" t="s">
        <v>9689</v>
      </c>
      <c r="G26" s="503"/>
      <c r="H26" s="306"/>
      <c r="I26" s="510"/>
      <c r="J26" s="500"/>
    </row>
    <row r="27" spans="1:10">
      <c r="A27" s="500" t="s">
        <v>831</v>
      </c>
      <c r="B27" s="500" t="s">
        <v>9712</v>
      </c>
      <c r="C27" s="306" t="s">
        <v>9713</v>
      </c>
      <c r="D27" s="295">
        <v>6205</v>
      </c>
      <c r="F27" s="507" t="s">
        <v>9690</v>
      </c>
      <c r="G27" s="509"/>
      <c r="H27" s="306"/>
      <c r="I27" s="510"/>
      <c r="J27" s="500"/>
    </row>
    <row r="28" spans="1:10">
      <c r="A28" s="500" t="s">
        <v>832</v>
      </c>
      <c r="B28" s="500" t="s">
        <v>9714</v>
      </c>
      <c r="C28" s="306" t="s">
        <v>9715</v>
      </c>
      <c r="D28" s="295">
        <v>6951</v>
      </c>
      <c r="F28" s="507" t="s">
        <v>9690</v>
      </c>
      <c r="G28" s="509"/>
      <c r="H28" s="306"/>
      <c r="I28" s="510"/>
      <c r="J28" s="500"/>
    </row>
    <row r="29" spans="1:10">
      <c r="A29" s="500" t="s">
        <v>833</v>
      </c>
      <c r="B29" s="500" t="s">
        <v>9716</v>
      </c>
      <c r="C29" s="306" t="s">
        <v>9717</v>
      </c>
      <c r="D29" s="295">
        <v>7906</v>
      </c>
      <c r="F29" s="500" t="s">
        <v>9689</v>
      </c>
      <c r="G29" s="509"/>
      <c r="I29" s="510"/>
      <c r="J29" s="500"/>
    </row>
    <row r="30" spans="1:10">
      <c r="A30" s="500" t="s">
        <v>834</v>
      </c>
      <c r="B30" s="500" t="s">
        <v>9718</v>
      </c>
      <c r="C30" s="306" t="s">
        <v>9719</v>
      </c>
      <c r="D30" s="293">
        <v>8365</v>
      </c>
      <c r="F30" s="500" t="s">
        <v>9689</v>
      </c>
      <c r="G30" s="509"/>
      <c r="I30" s="510"/>
      <c r="J30" s="500"/>
    </row>
    <row r="31" spans="1:10">
      <c r="A31" s="500" t="s">
        <v>835</v>
      </c>
      <c r="B31" s="500" t="s">
        <v>9720</v>
      </c>
      <c r="C31" s="306" t="s">
        <v>9721</v>
      </c>
      <c r="D31" s="295">
        <v>7713</v>
      </c>
      <c r="F31" s="500" t="s">
        <v>9690</v>
      </c>
      <c r="G31" s="509"/>
      <c r="I31" s="510"/>
      <c r="J31" s="500"/>
    </row>
    <row r="32" spans="1:10">
      <c r="A32" s="500" t="s">
        <v>836</v>
      </c>
      <c r="B32" s="500" t="s">
        <v>9722</v>
      </c>
      <c r="C32" s="306" t="s">
        <v>9723</v>
      </c>
      <c r="D32" s="293">
        <v>5290</v>
      </c>
      <c r="F32" s="500" t="s">
        <v>9689</v>
      </c>
    </row>
    <row r="33" spans="1:6">
      <c r="A33" s="500" t="s">
        <v>837</v>
      </c>
      <c r="B33" s="500" t="s">
        <v>3483</v>
      </c>
      <c r="C33" s="306" t="s">
        <v>9724</v>
      </c>
      <c r="D33" s="293">
        <v>7686</v>
      </c>
      <c r="F33" s="500" t="s">
        <v>9689</v>
      </c>
    </row>
    <row r="34" spans="1:6">
      <c r="A34" s="500" t="s">
        <v>838</v>
      </c>
      <c r="B34" s="500" t="s">
        <v>9725</v>
      </c>
      <c r="C34" s="306" t="s">
        <v>9726</v>
      </c>
      <c r="D34" s="293">
        <v>5114</v>
      </c>
      <c r="F34" s="500" t="s">
        <v>9687</v>
      </c>
    </row>
    <row r="35" spans="1:6">
      <c r="A35" s="500" t="s">
        <v>840</v>
      </c>
      <c r="B35" s="500" t="s">
        <v>9727</v>
      </c>
      <c r="C35" s="306" t="s">
        <v>9728</v>
      </c>
      <c r="D35" s="293">
        <v>8967</v>
      </c>
      <c r="F35" s="500" t="s">
        <v>9687</v>
      </c>
    </row>
    <row r="36" spans="1:6">
      <c r="A36" s="512" t="s">
        <v>841</v>
      </c>
      <c r="B36" s="500" t="s">
        <v>5586</v>
      </c>
      <c r="C36" s="306" t="s">
        <v>9729</v>
      </c>
      <c r="D36" s="295">
        <v>7775</v>
      </c>
      <c r="F36" s="500" t="s">
        <v>9689</v>
      </c>
    </row>
    <row r="37" spans="1:6">
      <c r="A37" s="512" t="s">
        <v>878</v>
      </c>
      <c r="B37" s="500" t="s">
        <v>9730</v>
      </c>
      <c r="C37" s="306" t="s">
        <v>9731</v>
      </c>
      <c r="D37" s="293">
        <v>5378</v>
      </c>
      <c r="F37" s="500" t="s">
        <v>9687</v>
      </c>
    </row>
    <row r="39" spans="1:6">
      <c r="A39" s="501" t="s">
        <v>9732</v>
      </c>
    </row>
  </sheetData>
  <printOptions gridLinesSet="0"/>
  <pageMargins left="0.78740157480314965" right="0" top="0.51181102362204722" bottom="0.51181102362204722" header="0.51181102362204722" footer="0.51181102362204722"/>
  <pageSetup paperSize="9" scale="74" orientation="portrait" horizontalDpi="300" verticalDpi="300" r:id="rId1"/>
  <headerFooter alignWithMargins="0">
    <oddFooter>&amp;C&amp;"Times New Roman,Regular"&amp;8&amp;P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6"/>
  <sheetViews>
    <sheetView showGridLines="0" zoomScaleNormal="100" workbookViewId="0"/>
  </sheetViews>
  <sheetFormatPr defaultColWidth="12.59765625" defaultRowHeight="14.5"/>
  <cols>
    <col min="1" max="1" width="4.8984375" style="472" customWidth="1"/>
    <col min="2" max="2" width="40.59765625" style="472" customWidth="1"/>
    <col min="3" max="3" width="11.59765625" style="472" customWidth="1"/>
    <col min="4" max="4" width="10" style="472" customWidth="1"/>
    <col min="5" max="5" width="2.296875" style="472" customWidth="1"/>
    <col min="6" max="6" width="35.8984375" style="472" customWidth="1"/>
    <col min="7" max="16384" width="12.59765625" style="472"/>
  </cols>
  <sheetData>
    <row r="1" spans="1:6">
      <c r="A1" s="471" t="s">
        <v>9176</v>
      </c>
      <c r="D1" s="473">
        <v>2016</v>
      </c>
    </row>
    <row r="3" spans="1:6">
      <c r="A3" s="471" t="s">
        <v>9733</v>
      </c>
      <c r="D3" s="474">
        <f t="shared" ref="D3" si="0">SUM(D17:D32)</f>
        <v>105431</v>
      </c>
    </row>
    <row r="5" spans="1:6">
      <c r="A5" s="471" t="s">
        <v>9554</v>
      </c>
      <c r="D5" s="476">
        <f>EALING!D9</f>
        <v>53309</v>
      </c>
      <c r="F5" s="472" t="s">
        <v>9552</v>
      </c>
    </row>
    <row r="6" spans="1:6" ht="15" thickBot="1">
      <c r="D6" s="478">
        <f>D18+D30+D32</f>
        <v>22776</v>
      </c>
      <c r="F6" s="471" t="s">
        <v>9316</v>
      </c>
    </row>
    <row r="7" spans="1:6" ht="15" thickBot="1">
      <c r="D7" s="478">
        <f>D5+D6</f>
        <v>76085</v>
      </c>
    </row>
    <row r="8" spans="1:6">
      <c r="D8" s="476"/>
    </row>
    <row r="9" spans="1:6">
      <c r="A9" s="471" t="s">
        <v>9734</v>
      </c>
      <c r="D9" s="474">
        <f>D17+D19+SUM(D21:D29)+D31</f>
        <v>77725</v>
      </c>
      <c r="F9" s="471" t="s">
        <v>9316</v>
      </c>
    </row>
    <row r="10" spans="1:6">
      <c r="A10" s="471"/>
      <c r="D10" s="474"/>
      <c r="F10" s="471"/>
    </row>
    <row r="11" spans="1:6">
      <c r="A11" s="471" t="s">
        <v>9315</v>
      </c>
      <c r="D11" s="474">
        <f>BRENT!D17</f>
        <v>72911</v>
      </c>
      <c r="F11" s="471" t="s">
        <v>9310</v>
      </c>
    </row>
    <row r="12" spans="1:6" ht="15" thickBot="1">
      <c r="A12" s="471"/>
      <c r="D12" s="478">
        <f>D20</f>
        <v>4930</v>
      </c>
      <c r="F12" s="471" t="s">
        <v>9316</v>
      </c>
    </row>
    <row r="13" spans="1:6" ht="15" thickBot="1">
      <c r="A13" s="471"/>
      <c r="D13" s="478">
        <f>SUM(D12:D12)</f>
        <v>4930</v>
      </c>
      <c r="F13" s="471"/>
    </row>
    <row r="14" spans="1:6">
      <c r="D14" s="476"/>
    </row>
    <row r="15" spans="1:6">
      <c r="A15" s="471" t="s">
        <v>1041</v>
      </c>
      <c r="D15" s="474">
        <f>D6+D9+D12</f>
        <v>105431</v>
      </c>
    </row>
    <row r="16" spans="1:6">
      <c r="D16" s="476"/>
    </row>
    <row r="17" spans="1:10">
      <c r="A17" s="471" t="s">
        <v>812</v>
      </c>
      <c r="B17" s="471" t="s">
        <v>9735</v>
      </c>
      <c r="C17" s="292" t="s">
        <v>9736</v>
      </c>
      <c r="D17" s="316">
        <v>6616</v>
      </c>
      <c r="F17" s="471" t="s">
        <v>9734</v>
      </c>
      <c r="H17" s="292"/>
      <c r="J17" s="292"/>
    </row>
    <row r="18" spans="1:10">
      <c r="A18" s="471" t="s">
        <v>813</v>
      </c>
      <c r="B18" s="471" t="s">
        <v>9737</v>
      </c>
      <c r="C18" s="292" t="s">
        <v>9738</v>
      </c>
      <c r="D18" s="316">
        <v>8162</v>
      </c>
      <c r="F18" s="471" t="s">
        <v>9554</v>
      </c>
      <c r="H18" s="292"/>
      <c r="J18" s="292"/>
    </row>
    <row r="19" spans="1:10">
      <c r="A19" s="471" t="s">
        <v>814</v>
      </c>
      <c r="B19" s="471" t="s">
        <v>9739</v>
      </c>
      <c r="C19" s="292" t="s">
        <v>9740</v>
      </c>
      <c r="D19" s="316">
        <v>6509</v>
      </c>
      <c r="F19" s="471" t="s">
        <v>9734</v>
      </c>
      <c r="H19" s="292"/>
      <c r="J19" s="292"/>
    </row>
    <row r="20" spans="1:10">
      <c r="A20" s="471" t="s">
        <v>815</v>
      </c>
      <c r="B20" s="471" t="s">
        <v>9741</v>
      </c>
      <c r="C20" s="292" t="s">
        <v>9742</v>
      </c>
      <c r="D20" s="316">
        <v>4930</v>
      </c>
      <c r="F20" s="471" t="s">
        <v>9315</v>
      </c>
      <c r="H20" s="292"/>
      <c r="J20" s="292"/>
    </row>
    <row r="21" spans="1:10">
      <c r="A21" s="471" t="s">
        <v>816</v>
      </c>
      <c r="B21" s="471" t="s">
        <v>9743</v>
      </c>
      <c r="C21" s="292" t="s">
        <v>9744</v>
      </c>
      <c r="D21" s="316">
        <v>6394</v>
      </c>
      <c r="F21" s="471" t="s">
        <v>9734</v>
      </c>
      <c r="H21" s="292"/>
      <c r="J21" s="292"/>
    </row>
    <row r="22" spans="1:10">
      <c r="A22" s="471" t="s">
        <v>826</v>
      </c>
      <c r="B22" s="472" t="s">
        <v>9745</v>
      </c>
      <c r="C22" s="292" t="s">
        <v>9746</v>
      </c>
      <c r="D22" s="316">
        <v>6651</v>
      </c>
      <c r="F22" s="471" t="s">
        <v>9734</v>
      </c>
      <c r="H22" s="292"/>
      <c r="J22" s="292"/>
    </row>
    <row r="23" spans="1:10">
      <c r="A23" s="471" t="s">
        <v>827</v>
      </c>
      <c r="B23" s="471" t="s">
        <v>9747</v>
      </c>
      <c r="C23" s="292" t="s">
        <v>9748</v>
      </c>
      <c r="D23" s="316">
        <v>6935</v>
      </c>
      <c r="F23" s="471" t="s">
        <v>9734</v>
      </c>
      <c r="H23" s="292"/>
      <c r="J23" s="292"/>
    </row>
    <row r="24" spans="1:10">
      <c r="A24" s="471" t="s">
        <v>828</v>
      </c>
      <c r="B24" s="471" t="s">
        <v>9749</v>
      </c>
      <c r="C24" s="292" t="s">
        <v>9750</v>
      </c>
      <c r="D24" s="316">
        <v>6323</v>
      </c>
      <c r="F24" s="471" t="s">
        <v>9734</v>
      </c>
      <c r="H24" s="292"/>
      <c r="J24" s="292"/>
    </row>
    <row r="25" spans="1:10">
      <c r="A25" s="471" t="s">
        <v>829</v>
      </c>
      <c r="B25" s="471" t="s">
        <v>9297</v>
      </c>
      <c r="C25" s="292" t="s">
        <v>9751</v>
      </c>
      <c r="D25" s="316">
        <v>6477</v>
      </c>
      <c r="F25" s="471" t="s">
        <v>9734</v>
      </c>
      <c r="H25" s="292"/>
      <c r="J25" s="292"/>
    </row>
    <row r="26" spans="1:10">
      <c r="A26" s="471" t="s">
        <v>830</v>
      </c>
      <c r="B26" s="471" t="s">
        <v>9752</v>
      </c>
      <c r="C26" s="292" t="s">
        <v>9753</v>
      </c>
      <c r="D26" s="316">
        <v>4765</v>
      </c>
      <c r="F26" s="471" t="s">
        <v>9734</v>
      </c>
      <c r="H26" s="292"/>
      <c r="J26" s="292"/>
    </row>
    <row r="27" spans="1:10">
      <c r="A27" s="471" t="s">
        <v>831</v>
      </c>
      <c r="B27" s="471" t="s">
        <v>9754</v>
      </c>
      <c r="C27" s="292" t="s">
        <v>9755</v>
      </c>
      <c r="D27" s="316">
        <v>6218</v>
      </c>
      <c r="F27" s="471" t="s">
        <v>9734</v>
      </c>
      <c r="H27" s="292"/>
      <c r="J27" s="292"/>
    </row>
    <row r="28" spans="1:10">
      <c r="A28" s="471" t="s">
        <v>832</v>
      </c>
      <c r="B28" s="471" t="s">
        <v>9756</v>
      </c>
      <c r="C28" s="292" t="s">
        <v>9757</v>
      </c>
      <c r="D28" s="316">
        <v>6632</v>
      </c>
      <c r="F28" s="471" t="s">
        <v>9734</v>
      </c>
      <c r="H28" s="292"/>
      <c r="J28" s="292"/>
    </row>
    <row r="29" spans="1:10">
      <c r="A29" s="471" t="s">
        <v>833</v>
      </c>
      <c r="B29" s="471" t="s">
        <v>9758</v>
      </c>
      <c r="C29" s="292" t="s">
        <v>9759</v>
      </c>
      <c r="D29" s="316">
        <v>7808</v>
      </c>
      <c r="F29" s="471" t="s">
        <v>9734</v>
      </c>
      <c r="H29" s="292"/>
      <c r="J29" s="292"/>
    </row>
    <row r="30" spans="1:10">
      <c r="A30" s="471" t="s">
        <v>834</v>
      </c>
      <c r="B30" s="471" t="s">
        <v>9760</v>
      </c>
      <c r="C30" s="292" t="s">
        <v>9761</v>
      </c>
      <c r="D30" s="316">
        <v>6837</v>
      </c>
      <c r="F30" s="471" t="s">
        <v>9554</v>
      </c>
      <c r="H30" s="292"/>
      <c r="J30" s="292"/>
    </row>
    <row r="31" spans="1:10">
      <c r="A31" s="471" t="s">
        <v>835</v>
      </c>
      <c r="B31" s="471" t="s">
        <v>2865</v>
      </c>
      <c r="C31" s="292" t="s">
        <v>9762</v>
      </c>
      <c r="D31" s="316">
        <v>6397</v>
      </c>
      <c r="F31" s="471" t="s">
        <v>9734</v>
      </c>
      <c r="H31" s="292"/>
      <c r="J31" s="292"/>
    </row>
    <row r="32" spans="1:10">
      <c r="A32" s="471" t="s">
        <v>836</v>
      </c>
      <c r="B32" s="471" t="s">
        <v>9763</v>
      </c>
      <c r="C32" s="292" t="s">
        <v>9764</v>
      </c>
      <c r="D32" s="316">
        <v>7777</v>
      </c>
      <c r="F32" s="471" t="s">
        <v>9554</v>
      </c>
      <c r="H32" s="292"/>
      <c r="J32" s="292"/>
    </row>
    <row r="33" spans="1:6">
      <c r="A33" s="471"/>
      <c r="B33" s="471"/>
      <c r="C33" s="471"/>
      <c r="D33" s="474"/>
      <c r="F33" s="471"/>
    </row>
    <row r="34" spans="1:6">
      <c r="A34" s="471" t="s">
        <v>9765</v>
      </c>
    </row>
    <row r="36" spans="1:6">
      <c r="A36" s="480"/>
    </row>
  </sheetData>
  <printOptions gridLinesSet="0"/>
  <pageMargins left="0.78740157480314965" right="0" top="0.51181102362204722" bottom="0.51181102362204722" header="0.51181102362204722" footer="0.51181102362204722"/>
  <pageSetup paperSize="9" scale="72" orientation="portrait" horizontalDpi="300" verticalDpi="300" r:id="rId1"/>
  <headerFooter alignWithMargins="0">
    <oddFooter>&amp;C&amp;"Times New Roman,Regular"&amp;8&amp;P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76"/>
  <sheetViews>
    <sheetView showGridLines="0" zoomScaleNormal="100" workbookViewId="0"/>
  </sheetViews>
  <sheetFormatPr defaultColWidth="12.59765625" defaultRowHeight="14.5"/>
  <cols>
    <col min="1" max="1" width="5" style="799" customWidth="1"/>
    <col min="2" max="2" width="44.19921875" style="799" customWidth="1"/>
    <col min="3" max="3" width="11.296875" style="799" customWidth="1"/>
    <col min="4" max="4" width="10" style="799" customWidth="1"/>
    <col min="5" max="5" width="2.296875" style="799" customWidth="1"/>
    <col min="6" max="6" width="31.59765625" style="799" customWidth="1"/>
    <col min="7" max="7" width="12.59765625" style="799"/>
    <col min="8" max="8" width="12.59765625" style="800"/>
    <col min="9" max="16384" width="12.59765625" style="799"/>
  </cols>
  <sheetData>
    <row r="1" spans="1:8" s="785" customFormat="1">
      <c r="A1" s="14" t="s">
        <v>1075</v>
      </c>
      <c r="D1" s="15">
        <v>2016</v>
      </c>
      <c r="H1" s="786"/>
    </row>
    <row r="2" spans="1:8" s="785" customFormat="1">
      <c r="H2" s="786"/>
    </row>
    <row r="3" spans="1:8" s="785" customFormat="1">
      <c r="A3" s="787" t="s">
        <v>14545</v>
      </c>
      <c r="C3" s="787"/>
      <c r="D3" s="788">
        <f t="shared" ref="D3" si="0">SUM(D8:D18)</f>
        <v>990435</v>
      </c>
      <c r="H3" s="786"/>
    </row>
    <row r="4" spans="1:8" s="785" customFormat="1">
      <c r="A4" s="787" t="s">
        <v>14546</v>
      </c>
      <c r="D4" s="788">
        <f>D79</f>
        <v>134892</v>
      </c>
      <c r="H4" s="786"/>
    </row>
    <row r="5" spans="1:8" s="785" customFormat="1" ht="15" thickBot="1">
      <c r="A5" s="787" t="s">
        <v>14547</v>
      </c>
      <c r="C5" s="787"/>
      <c r="D5" s="789">
        <f t="shared" ref="D5" si="1">D103</f>
        <v>148179</v>
      </c>
      <c r="H5" s="786"/>
    </row>
    <row r="6" spans="1:8" s="785" customFormat="1" ht="15" thickBot="1">
      <c r="D6" s="789">
        <f t="shared" ref="D6" si="2">SUM(D3:D5)</f>
        <v>1273506</v>
      </c>
      <c r="H6" s="786"/>
    </row>
    <row r="7" spans="1:8" s="785" customFormat="1">
      <c r="D7" s="790"/>
      <c r="H7" s="786"/>
    </row>
    <row r="8" spans="1:8" s="785" customFormat="1">
      <c r="A8" s="787" t="s">
        <v>14548</v>
      </c>
      <c r="C8" s="787"/>
      <c r="D8" s="788">
        <f t="shared" ref="D8" si="3">D129</f>
        <v>124473</v>
      </c>
      <c r="F8" s="791"/>
      <c r="H8" s="786"/>
    </row>
    <row r="9" spans="1:8" s="785" customFormat="1">
      <c r="A9" s="787" t="s">
        <v>14549</v>
      </c>
      <c r="C9" s="787"/>
      <c r="D9" s="788">
        <f t="shared" ref="D9" si="4">D169</f>
        <v>86488</v>
      </c>
      <c r="F9" s="791"/>
      <c r="H9" s="786"/>
    </row>
    <row r="10" spans="1:8" s="785" customFormat="1">
      <c r="A10" s="787" t="s">
        <v>14550</v>
      </c>
      <c r="C10" s="787"/>
      <c r="D10" s="788">
        <f t="shared" ref="D10" si="5">D217</f>
        <v>94165</v>
      </c>
      <c r="F10" s="791"/>
      <c r="H10" s="786"/>
    </row>
    <row r="11" spans="1:8" s="785" customFormat="1">
      <c r="A11" s="787" t="s">
        <v>14551</v>
      </c>
      <c r="C11" s="787"/>
      <c r="D11" s="788">
        <f t="shared" ref="D11" si="6">D246</f>
        <v>87138</v>
      </c>
      <c r="F11" s="791"/>
      <c r="H11" s="786"/>
    </row>
    <row r="12" spans="1:8" s="785" customFormat="1">
      <c r="A12" s="787" t="s">
        <v>14552</v>
      </c>
      <c r="C12" s="787"/>
      <c r="D12" s="788">
        <f t="shared" ref="D12" si="7">D271</f>
        <v>60943</v>
      </c>
      <c r="F12" s="791"/>
      <c r="H12" s="786"/>
    </row>
    <row r="13" spans="1:8" s="785" customFormat="1">
      <c r="A13" s="787" t="s">
        <v>14553</v>
      </c>
      <c r="C13" s="787"/>
      <c r="D13" s="788">
        <f t="shared" ref="D13" si="8">D297</f>
        <v>67763</v>
      </c>
      <c r="F13" s="791"/>
      <c r="H13" s="786"/>
    </row>
    <row r="14" spans="1:8" s="785" customFormat="1">
      <c r="A14" s="787" t="s">
        <v>14554</v>
      </c>
      <c r="C14" s="787"/>
      <c r="D14" s="788">
        <f t="shared" ref="D14" si="9">D318</f>
        <v>92313</v>
      </c>
      <c r="F14" s="791"/>
      <c r="H14" s="786"/>
    </row>
    <row r="15" spans="1:8" s="785" customFormat="1">
      <c r="A15" s="787" t="s">
        <v>14555</v>
      </c>
      <c r="C15" s="787"/>
      <c r="D15" s="788">
        <f t="shared" ref="D15" si="10">D342</f>
        <v>137973</v>
      </c>
      <c r="F15" s="791"/>
      <c r="H15" s="786"/>
    </row>
    <row r="16" spans="1:8" s="785" customFormat="1">
      <c r="A16" s="787" t="s">
        <v>14556</v>
      </c>
      <c r="C16" s="787"/>
      <c r="D16" s="788">
        <f t="shared" ref="D16" si="11">D387</f>
        <v>62487</v>
      </c>
      <c r="F16" s="791"/>
      <c r="H16" s="786"/>
    </row>
    <row r="17" spans="1:8" s="785" customFormat="1">
      <c r="A17" s="787" t="s">
        <v>14557</v>
      </c>
      <c r="C17" s="787"/>
      <c r="D17" s="788">
        <f t="shared" ref="D17" si="12">D409</f>
        <v>90897</v>
      </c>
      <c r="F17" s="791"/>
      <c r="H17" s="786"/>
    </row>
    <row r="18" spans="1:8" s="785" customFormat="1">
      <c r="A18" s="787" t="s">
        <v>14558</v>
      </c>
      <c r="C18" s="787"/>
      <c r="D18" s="788">
        <f t="shared" ref="D18" si="13">D444</f>
        <v>85795</v>
      </c>
      <c r="F18" s="791"/>
      <c r="H18" s="786"/>
    </row>
    <row r="19" spans="1:8" s="785" customFormat="1">
      <c r="H19" s="786"/>
    </row>
    <row r="20" spans="1:8" s="785" customFormat="1">
      <c r="A20" s="787" t="s">
        <v>14559</v>
      </c>
      <c r="D20" s="788">
        <f t="shared" ref="D20" si="14">D310</f>
        <v>12228</v>
      </c>
      <c r="F20" s="787" t="s">
        <v>14560</v>
      </c>
      <c r="H20" s="786"/>
    </row>
    <row r="21" spans="1:8" s="785" customFormat="1" ht="15" thickBot="1">
      <c r="D21" s="789">
        <f t="shared" ref="D21" si="15">D402</f>
        <v>62487</v>
      </c>
      <c r="F21" s="787" t="s">
        <v>13702</v>
      </c>
      <c r="H21" s="786"/>
    </row>
    <row r="22" spans="1:8" s="785" customFormat="1" ht="15" thickBot="1">
      <c r="D22" s="789">
        <f t="shared" ref="D22" si="16">D20+D21</f>
        <v>74715</v>
      </c>
      <c r="H22" s="786"/>
    </row>
    <row r="23" spans="1:8" s="785" customFormat="1">
      <c r="D23" s="790"/>
      <c r="H23" s="786"/>
    </row>
    <row r="24" spans="1:8" s="785" customFormat="1">
      <c r="A24" s="787" t="s">
        <v>14561</v>
      </c>
      <c r="D24" s="788">
        <f t="shared" ref="D24" si="17">D160</f>
        <v>78026</v>
      </c>
      <c r="F24" s="787" t="s">
        <v>14562</v>
      </c>
      <c r="H24" s="786"/>
    </row>
    <row r="25" spans="1:8" s="785" customFormat="1">
      <c r="D25" s="790"/>
      <c r="H25" s="786"/>
    </row>
    <row r="26" spans="1:8" s="785" customFormat="1">
      <c r="A26" s="787" t="s">
        <v>14563</v>
      </c>
      <c r="D26" s="788">
        <f t="shared" ref="D26" si="18">D209</f>
        <v>72314</v>
      </c>
      <c r="F26" s="787" t="s">
        <v>14564</v>
      </c>
      <c r="H26" s="786"/>
    </row>
    <row r="27" spans="1:8" s="785" customFormat="1">
      <c r="D27" s="790"/>
      <c r="H27" s="786"/>
    </row>
    <row r="28" spans="1:8" s="785" customFormat="1">
      <c r="A28" s="787" t="s">
        <v>14565</v>
      </c>
      <c r="D28" s="788">
        <f t="shared" ref="D28" si="19">D238</f>
        <v>77814</v>
      </c>
      <c r="F28" s="787" t="s">
        <v>14566</v>
      </c>
      <c r="H28" s="786"/>
    </row>
    <row r="29" spans="1:8" s="785" customFormat="1">
      <c r="D29" s="790"/>
      <c r="H29" s="786"/>
    </row>
    <row r="30" spans="1:8" s="785" customFormat="1">
      <c r="A30" s="787" t="s">
        <v>14567</v>
      </c>
      <c r="D30" s="788">
        <f t="shared" ref="D30" si="20">D263</f>
        <v>75724</v>
      </c>
      <c r="F30" s="787" t="s">
        <v>14568</v>
      </c>
      <c r="H30" s="786"/>
    </row>
    <row r="31" spans="1:8" s="785" customFormat="1" ht="15" thickBot="1">
      <c r="A31" s="787"/>
      <c r="D31" s="789">
        <f>D472</f>
        <v>2209</v>
      </c>
      <c r="F31" s="787" t="s">
        <v>14569</v>
      </c>
      <c r="H31" s="786"/>
    </row>
    <row r="32" spans="1:8" s="785" customFormat="1" ht="15" thickBot="1">
      <c r="A32" s="787"/>
      <c r="D32" s="789">
        <f t="shared" ref="D32" si="21">D30+D31</f>
        <v>77933</v>
      </c>
      <c r="F32" s="787"/>
      <c r="H32" s="786"/>
    </row>
    <row r="33" spans="1:8" s="785" customFormat="1" ht="15" customHeight="1">
      <c r="D33" s="790"/>
      <c r="H33" s="786"/>
    </row>
    <row r="34" spans="1:8" s="785" customFormat="1" ht="15" customHeight="1">
      <c r="A34" s="787" t="s">
        <v>14570</v>
      </c>
      <c r="D34" s="788">
        <f t="shared" ref="D34" si="22">D264</f>
        <v>11414</v>
      </c>
      <c r="F34" s="787" t="s">
        <v>14568</v>
      </c>
      <c r="H34" s="786"/>
    </row>
    <row r="35" spans="1:8" s="785" customFormat="1" ht="15" thickBot="1">
      <c r="D35" s="789">
        <f t="shared" ref="D35" si="23">D290</f>
        <v>60943</v>
      </c>
      <c r="F35" s="787" t="s">
        <v>13699</v>
      </c>
      <c r="H35" s="786"/>
    </row>
    <row r="36" spans="1:8" s="785" customFormat="1" ht="15" thickBot="1">
      <c r="D36" s="789">
        <f t="shared" ref="D36" si="24">D34+D35</f>
        <v>72357</v>
      </c>
      <c r="H36" s="786"/>
    </row>
    <row r="37" spans="1:8" s="785" customFormat="1">
      <c r="D37" s="790"/>
      <c r="H37" s="786"/>
    </row>
    <row r="38" spans="1:8" s="785" customFormat="1">
      <c r="A38" s="787" t="s">
        <v>14571</v>
      </c>
      <c r="D38" s="788">
        <f t="shared" ref="D38" si="25">D334</f>
        <v>77739</v>
      </c>
      <c r="F38" s="787" t="s">
        <v>14572</v>
      </c>
      <c r="H38" s="786"/>
    </row>
    <row r="39" spans="1:8" s="785" customFormat="1">
      <c r="D39" s="790"/>
      <c r="H39" s="786"/>
    </row>
    <row r="40" spans="1:8" s="785" customFormat="1">
      <c r="A40" s="787" t="s">
        <v>14573</v>
      </c>
      <c r="D40" s="788">
        <f t="shared" ref="D40" si="26">D378</f>
        <v>66684</v>
      </c>
      <c r="F40" s="787" t="s">
        <v>14574</v>
      </c>
      <c r="H40" s="786"/>
    </row>
    <row r="41" spans="1:8" s="785" customFormat="1" ht="15" thickBot="1">
      <c r="A41" s="787"/>
      <c r="D41" s="789">
        <f>D435</f>
        <v>5836</v>
      </c>
      <c r="F41" s="787" t="s">
        <v>14575</v>
      </c>
      <c r="H41" s="786"/>
    </row>
    <row r="42" spans="1:8" s="785" customFormat="1" ht="15" thickBot="1">
      <c r="A42" s="787"/>
      <c r="D42" s="789">
        <f>D40+D41</f>
        <v>72520</v>
      </c>
      <c r="F42" s="787"/>
      <c r="H42" s="786"/>
    </row>
    <row r="43" spans="1:8" s="785" customFormat="1">
      <c r="D43" s="790"/>
      <c r="H43" s="786"/>
    </row>
    <row r="44" spans="1:8" s="785" customFormat="1">
      <c r="A44" s="787" t="s">
        <v>14576</v>
      </c>
      <c r="D44" s="788">
        <f t="shared" ref="D44" si="27">D379</f>
        <v>71289</v>
      </c>
      <c r="F44" s="787" t="s">
        <v>14574</v>
      </c>
      <c r="H44" s="786"/>
    </row>
    <row r="45" spans="1:8" s="785" customFormat="1">
      <c r="D45" s="790"/>
      <c r="H45" s="786"/>
    </row>
    <row r="46" spans="1:8" s="785" customFormat="1">
      <c r="A46" s="787" t="s">
        <v>14577</v>
      </c>
      <c r="D46" s="788">
        <f t="shared" ref="D46" si="28">D161</f>
        <v>2240</v>
      </c>
      <c r="F46" s="787" t="s">
        <v>14562</v>
      </c>
      <c r="H46" s="786"/>
    </row>
    <row r="47" spans="1:8" s="785" customFormat="1">
      <c r="A47" s="787"/>
      <c r="D47" s="788">
        <f>D210</f>
        <v>14174</v>
      </c>
      <c r="F47" s="787" t="s">
        <v>14564</v>
      </c>
      <c r="H47" s="786"/>
    </row>
    <row r="48" spans="1:8" s="785" customFormat="1" ht="15" thickBot="1">
      <c r="D48" s="789">
        <f t="shared" ref="D48" si="29">D311</f>
        <v>55535</v>
      </c>
      <c r="F48" s="787" t="s">
        <v>14560</v>
      </c>
      <c r="H48" s="786"/>
    </row>
    <row r="49" spans="1:8" s="785" customFormat="1" ht="15" thickBot="1">
      <c r="D49" s="789">
        <f>SUM(D46:D48)</f>
        <v>71949</v>
      </c>
      <c r="H49" s="786"/>
    </row>
    <row r="50" spans="1:8" s="785" customFormat="1">
      <c r="D50" s="790"/>
      <c r="H50" s="786"/>
    </row>
    <row r="51" spans="1:8" s="785" customFormat="1">
      <c r="A51" s="787" t="s">
        <v>14578</v>
      </c>
      <c r="D51" s="788">
        <f t="shared" ref="D51" si="30">D162</f>
        <v>44207</v>
      </c>
      <c r="F51" s="787" t="s">
        <v>14562</v>
      </c>
      <c r="H51" s="786"/>
    </row>
    <row r="52" spans="1:8" s="785" customFormat="1" ht="15" thickBot="1">
      <c r="D52" s="789">
        <f t="shared" ref="D52" si="31">D436</f>
        <v>34110</v>
      </c>
      <c r="F52" s="787" t="s">
        <v>14575</v>
      </c>
      <c r="H52" s="786"/>
    </row>
    <row r="53" spans="1:8" s="785" customFormat="1" ht="15" thickBot="1">
      <c r="D53" s="789">
        <f>D51+D52</f>
        <v>78317</v>
      </c>
      <c r="H53" s="786"/>
    </row>
    <row r="54" spans="1:8" s="785" customFormat="1">
      <c r="D54" s="790"/>
      <c r="H54" s="786"/>
    </row>
    <row r="55" spans="1:8" s="785" customFormat="1">
      <c r="A55" s="787" t="s">
        <v>14579</v>
      </c>
      <c r="D55" s="790">
        <f>D335</f>
        <v>14574</v>
      </c>
      <c r="F55" s="787" t="s">
        <v>14572</v>
      </c>
      <c r="H55" s="786"/>
    </row>
    <row r="56" spans="1:8" s="785" customFormat="1" ht="15" thickBot="1">
      <c r="D56" s="792">
        <f>D95</f>
        <v>60639</v>
      </c>
      <c r="F56" s="787" t="s">
        <v>14580</v>
      </c>
      <c r="H56" s="786"/>
    </row>
    <row r="57" spans="1:8" s="785" customFormat="1" ht="15" thickBot="1">
      <c r="A57" s="787"/>
      <c r="D57" s="793">
        <f>D55+D56</f>
        <v>75213</v>
      </c>
      <c r="F57" s="787"/>
      <c r="H57" s="786"/>
    </row>
    <row r="58" spans="1:8" s="785" customFormat="1">
      <c r="A58" s="787"/>
      <c r="D58" s="790"/>
      <c r="F58" s="787"/>
      <c r="H58" s="786"/>
    </row>
    <row r="59" spans="1:8" s="785" customFormat="1">
      <c r="A59" s="787" t="s">
        <v>14581</v>
      </c>
      <c r="D59" s="790">
        <f>D96</f>
        <v>74253</v>
      </c>
      <c r="F59" s="787" t="s">
        <v>14580</v>
      </c>
      <c r="H59" s="786"/>
    </row>
    <row r="60" spans="1:8" s="785" customFormat="1">
      <c r="D60" s="790"/>
      <c r="H60" s="786"/>
    </row>
    <row r="61" spans="1:8" s="785" customFormat="1">
      <c r="A61" s="787" t="s">
        <v>14582</v>
      </c>
      <c r="D61" s="788">
        <f t="shared" ref="D61" si="32">D121</f>
        <v>75474</v>
      </c>
      <c r="F61" s="787" t="s">
        <v>14583</v>
      </c>
      <c r="H61" s="786"/>
    </row>
    <row r="62" spans="1:8" s="785" customFormat="1">
      <c r="D62" s="790"/>
      <c r="H62" s="786"/>
    </row>
    <row r="63" spans="1:8" s="785" customFormat="1">
      <c r="A63" s="787" t="s">
        <v>14584</v>
      </c>
      <c r="D63" s="788">
        <f t="shared" ref="D63" si="33">D122</f>
        <v>72705</v>
      </c>
      <c r="F63" s="787" t="s">
        <v>14583</v>
      </c>
      <c r="H63" s="786"/>
    </row>
    <row r="64" spans="1:8" s="785" customFormat="1">
      <c r="A64" s="787"/>
      <c r="D64" s="788"/>
      <c r="F64" s="787"/>
      <c r="H64" s="786"/>
    </row>
    <row r="65" spans="1:8" s="785" customFormat="1">
      <c r="A65" s="787" t="s">
        <v>14585</v>
      </c>
      <c r="D65" s="788">
        <f>D239</f>
        <v>16351</v>
      </c>
      <c r="F65" s="787" t="s">
        <v>14566</v>
      </c>
      <c r="H65" s="786"/>
    </row>
    <row r="66" spans="1:8" s="785" customFormat="1">
      <c r="D66" s="794">
        <f>D437</f>
        <v>50951</v>
      </c>
      <c r="F66" s="787" t="s">
        <v>14575</v>
      </c>
      <c r="H66" s="786"/>
    </row>
    <row r="67" spans="1:8" s="785" customFormat="1" ht="15" thickBot="1">
      <c r="A67" s="787"/>
      <c r="D67" s="792">
        <f>D473</f>
        <v>7503</v>
      </c>
      <c r="F67" s="785" t="s">
        <v>14569</v>
      </c>
      <c r="H67" s="786"/>
    </row>
    <row r="68" spans="1:8" s="785" customFormat="1" ht="15" thickBot="1">
      <c r="D68" s="789">
        <f>SUM(D65:D67)</f>
        <v>74805</v>
      </c>
      <c r="H68" s="786"/>
    </row>
    <row r="69" spans="1:8" s="785" customFormat="1">
      <c r="D69" s="794"/>
      <c r="H69" s="786"/>
    </row>
    <row r="70" spans="1:8" s="785" customFormat="1">
      <c r="A70" s="787" t="s">
        <v>14586</v>
      </c>
      <c r="D70" s="794">
        <f t="shared" ref="D70" si="34">D474</f>
        <v>76083</v>
      </c>
      <c r="F70" s="787" t="s">
        <v>14569</v>
      </c>
      <c r="H70" s="786"/>
    </row>
    <row r="71" spans="1:8" s="785" customFormat="1">
      <c r="D71" s="790"/>
      <c r="H71" s="786"/>
    </row>
    <row r="72" spans="1:8" s="785" customFormat="1">
      <c r="A72" s="787" t="s">
        <v>1041</v>
      </c>
      <c r="D72" s="788">
        <f>D22+D24+D26+D28+D32+D36+D38+D42+D44+D49+D53+D57+D59+D61+D63+D68+D70</f>
        <v>1273506</v>
      </c>
      <c r="H72" s="786"/>
    </row>
    <row r="73" spans="1:8" s="785" customFormat="1">
      <c r="D73" s="790"/>
      <c r="H73" s="786"/>
    </row>
    <row r="74" spans="1:8" s="785" customFormat="1">
      <c r="A74" s="787" t="s">
        <v>14587</v>
      </c>
      <c r="D74" s="788"/>
      <c r="H74" s="786"/>
    </row>
    <row r="75" spans="1:8" s="785" customFormat="1">
      <c r="A75" s="787"/>
      <c r="D75" s="788"/>
      <c r="H75" s="786"/>
    </row>
    <row r="76" spans="1:8" s="785" customFormat="1">
      <c r="A76" s="787"/>
      <c r="D76" s="788"/>
      <c r="H76" s="786"/>
    </row>
    <row r="77" spans="1:8" s="785" customFormat="1">
      <c r="A77" s="787"/>
      <c r="D77" s="10" t="s">
        <v>285</v>
      </c>
      <c r="E77" s="16"/>
      <c r="F77" s="5" t="s">
        <v>4116</v>
      </c>
      <c r="H77" s="786"/>
    </row>
    <row r="78" spans="1:8" s="785" customFormat="1">
      <c r="A78" s="787"/>
      <c r="D78" s="15">
        <v>2016</v>
      </c>
      <c r="E78" s="16"/>
      <c r="F78" s="18" t="s">
        <v>286</v>
      </c>
      <c r="H78" s="786"/>
    </row>
    <row r="79" spans="1:8" s="785" customFormat="1">
      <c r="A79" s="787" t="s">
        <v>14546</v>
      </c>
      <c r="D79" s="788">
        <f>SUM(D80:D93)</f>
        <v>134892</v>
      </c>
      <c r="H79" s="786"/>
    </row>
    <row r="80" spans="1:8" s="785" customFormat="1">
      <c r="A80" s="787" t="s">
        <v>812</v>
      </c>
      <c r="B80" s="787" t="s">
        <v>14588</v>
      </c>
      <c r="C80" s="292" t="s">
        <v>14589</v>
      </c>
      <c r="D80" s="293">
        <v>10812</v>
      </c>
      <c r="F80" s="787" t="s">
        <v>14579</v>
      </c>
      <c r="H80" s="786"/>
    </row>
    <row r="81" spans="1:8" s="785" customFormat="1">
      <c r="A81" s="787" t="s">
        <v>813</v>
      </c>
      <c r="B81" s="787" t="s">
        <v>14590</v>
      </c>
      <c r="C81" s="292" t="s">
        <v>14591</v>
      </c>
      <c r="D81" s="293">
        <v>9429</v>
      </c>
      <c r="F81" s="787" t="s">
        <v>14581</v>
      </c>
      <c r="H81" s="786"/>
    </row>
    <row r="82" spans="1:8" s="785" customFormat="1">
      <c r="A82" s="787" t="s">
        <v>814</v>
      </c>
      <c r="B82" s="787" t="s">
        <v>14592</v>
      </c>
      <c r="C82" s="292" t="s">
        <v>14593</v>
      </c>
      <c r="D82" s="293">
        <v>10213</v>
      </c>
      <c r="F82" s="787" t="s">
        <v>14581</v>
      </c>
      <c r="H82" s="786"/>
    </row>
    <row r="83" spans="1:8" s="785" customFormat="1">
      <c r="A83" s="787" t="s">
        <v>815</v>
      </c>
      <c r="B83" s="787" t="s">
        <v>14594</v>
      </c>
      <c r="C83" s="292" t="s">
        <v>14595</v>
      </c>
      <c r="D83" s="293">
        <v>9693</v>
      </c>
      <c r="F83" s="787" t="s">
        <v>14579</v>
      </c>
      <c r="H83" s="786"/>
    </row>
    <row r="84" spans="1:8" s="785" customFormat="1">
      <c r="A84" s="787" t="s">
        <v>816</v>
      </c>
      <c r="B84" s="787" t="s">
        <v>14596</v>
      </c>
      <c r="C84" s="292" t="s">
        <v>14597</v>
      </c>
      <c r="D84" s="293">
        <v>10171</v>
      </c>
      <c r="F84" s="787" t="s">
        <v>14579</v>
      </c>
      <c r="H84" s="786"/>
    </row>
    <row r="85" spans="1:8" s="785" customFormat="1">
      <c r="A85" s="787" t="s">
        <v>826</v>
      </c>
      <c r="B85" s="787" t="s">
        <v>14598</v>
      </c>
      <c r="C85" s="292" t="s">
        <v>14599</v>
      </c>
      <c r="D85" s="293">
        <v>10064</v>
      </c>
      <c r="F85" s="787" t="s">
        <v>14579</v>
      </c>
      <c r="H85" s="786"/>
    </row>
    <row r="86" spans="1:8" s="785" customFormat="1">
      <c r="A86" s="787" t="s">
        <v>827</v>
      </c>
      <c r="B86" s="787" t="s">
        <v>14600</v>
      </c>
      <c r="C86" s="292" t="s">
        <v>14601</v>
      </c>
      <c r="D86" s="293">
        <v>8914</v>
      </c>
      <c r="F86" s="787" t="s">
        <v>14581</v>
      </c>
      <c r="H86" s="786"/>
    </row>
    <row r="87" spans="1:8" s="785" customFormat="1">
      <c r="A87" s="787" t="s">
        <v>828</v>
      </c>
      <c r="B87" s="787" t="s">
        <v>14602</v>
      </c>
      <c r="C87" s="292" t="s">
        <v>14603</v>
      </c>
      <c r="D87" s="293">
        <v>9477</v>
      </c>
      <c r="F87" s="787" t="s">
        <v>14581</v>
      </c>
      <c r="H87" s="786"/>
    </row>
    <row r="88" spans="1:8" s="785" customFormat="1">
      <c r="A88" s="787" t="s">
        <v>829</v>
      </c>
      <c r="B88" s="787" t="s">
        <v>14604</v>
      </c>
      <c r="C88" s="292" t="s">
        <v>14605</v>
      </c>
      <c r="D88" s="293">
        <v>9951</v>
      </c>
      <c r="F88" s="787" t="s">
        <v>14579</v>
      </c>
      <c r="H88" s="786"/>
    </row>
    <row r="89" spans="1:8" s="785" customFormat="1">
      <c r="A89" s="787" t="s">
        <v>830</v>
      </c>
      <c r="B89" s="787" t="s">
        <v>7281</v>
      </c>
      <c r="C89" s="292" t="s">
        <v>14606</v>
      </c>
      <c r="D89" s="293">
        <v>9792</v>
      </c>
      <c r="F89" s="787" t="s">
        <v>14581</v>
      </c>
      <c r="H89" s="786"/>
    </row>
    <row r="90" spans="1:8" s="785" customFormat="1">
      <c r="A90" s="787" t="s">
        <v>831</v>
      </c>
      <c r="B90" s="787" t="s">
        <v>8528</v>
      </c>
      <c r="C90" s="292" t="s">
        <v>14607</v>
      </c>
      <c r="D90" s="293">
        <v>9676</v>
      </c>
      <c r="F90" s="787" t="s">
        <v>14581</v>
      </c>
      <c r="H90" s="786"/>
    </row>
    <row r="91" spans="1:8" s="785" customFormat="1">
      <c r="A91" s="787" t="s">
        <v>832</v>
      </c>
      <c r="B91" s="787" t="s">
        <v>14608</v>
      </c>
      <c r="C91" s="292" t="s">
        <v>14609</v>
      </c>
      <c r="D91" s="293">
        <v>9948</v>
      </c>
      <c r="F91" s="787" t="s">
        <v>14579</v>
      </c>
      <c r="H91" s="786"/>
    </row>
    <row r="92" spans="1:8" s="785" customFormat="1">
      <c r="A92" s="787" t="s">
        <v>833</v>
      </c>
      <c r="B92" s="787" t="s">
        <v>14610</v>
      </c>
      <c r="C92" s="292" t="s">
        <v>14611</v>
      </c>
      <c r="D92" s="293">
        <v>8042</v>
      </c>
      <c r="F92" s="787" t="s">
        <v>14581</v>
      </c>
      <c r="H92" s="786"/>
    </row>
    <row r="93" spans="1:8" s="785" customFormat="1">
      <c r="A93" s="795">
        <v>14</v>
      </c>
      <c r="B93" s="787" t="s">
        <v>506</v>
      </c>
      <c r="C93" s="292" t="s">
        <v>14612</v>
      </c>
      <c r="D93" s="293">
        <v>8710</v>
      </c>
      <c r="F93" s="787" t="s">
        <v>14581</v>
      </c>
      <c r="H93" s="786"/>
    </row>
    <row r="94" spans="1:8" s="785" customFormat="1">
      <c r="D94" s="790"/>
      <c r="H94" s="786"/>
    </row>
    <row r="95" spans="1:8" s="785" customFormat="1">
      <c r="A95" s="787" t="s">
        <v>14613</v>
      </c>
      <c r="D95" s="788">
        <f>D80+D83+D84+D85+D88+D91</f>
        <v>60639</v>
      </c>
      <c r="H95" s="786"/>
    </row>
    <row r="96" spans="1:8" s="785" customFormat="1">
      <c r="A96" s="787" t="s">
        <v>14581</v>
      </c>
      <c r="D96" s="788">
        <f>D81+D82+D86+D87+D89+D90+D92+D93</f>
        <v>74253</v>
      </c>
      <c r="H96" s="786"/>
    </row>
    <row r="97" spans="1:11" s="785" customFormat="1">
      <c r="A97" s="787"/>
      <c r="D97" s="788"/>
      <c r="H97" s="786"/>
    </row>
    <row r="98" spans="1:11" s="785" customFormat="1">
      <c r="A98" s="787" t="s">
        <v>14614</v>
      </c>
      <c r="D98" s="788"/>
      <c r="H98" s="786"/>
    </row>
    <row r="99" spans="1:11" s="785" customFormat="1">
      <c r="A99" s="787"/>
      <c r="D99" s="788"/>
      <c r="H99" s="786"/>
    </row>
    <row r="100" spans="1:11" s="785" customFormat="1">
      <c r="A100" s="796"/>
      <c r="H100" s="786"/>
    </row>
    <row r="101" spans="1:11" s="785" customFormat="1">
      <c r="D101" s="10" t="s">
        <v>285</v>
      </c>
      <c r="E101" s="16"/>
      <c r="F101" s="5" t="s">
        <v>4116</v>
      </c>
      <c r="H101" s="786"/>
    </row>
    <row r="102" spans="1:11" s="785" customFormat="1">
      <c r="D102" s="15">
        <v>2016</v>
      </c>
      <c r="E102" s="16"/>
      <c r="F102" s="18" t="s">
        <v>286</v>
      </c>
      <c r="H102" s="786"/>
    </row>
    <row r="103" spans="1:11" s="785" customFormat="1">
      <c r="A103" s="787" t="s">
        <v>14547</v>
      </c>
      <c r="C103" s="787"/>
      <c r="D103" s="788">
        <f t="shared" ref="D103" si="35">SUM(D104:D119)</f>
        <v>148179</v>
      </c>
      <c r="H103" s="786"/>
    </row>
    <row r="104" spans="1:11" s="785" customFormat="1">
      <c r="A104" s="787" t="s">
        <v>812</v>
      </c>
      <c r="B104" s="787" t="s">
        <v>14615</v>
      </c>
      <c r="C104" s="292" t="s">
        <v>14616</v>
      </c>
      <c r="D104" s="293">
        <v>8571</v>
      </c>
      <c r="F104" s="787" t="s">
        <v>14582</v>
      </c>
      <c r="G104" s="292"/>
      <c r="H104" s="292"/>
      <c r="I104" s="292"/>
      <c r="K104" s="292"/>
    </row>
    <row r="105" spans="1:11" s="785" customFormat="1">
      <c r="A105" s="787" t="s">
        <v>813</v>
      </c>
      <c r="B105" s="787" t="s">
        <v>14617</v>
      </c>
      <c r="C105" s="292" t="s">
        <v>14618</v>
      </c>
      <c r="D105" s="293">
        <v>8890</v>
      </c>
      <c r="F105" s="787" t="s">
        <v>14584</v>
      </c>
      <c r="G105" s="292"/>
      <c r="H105" s="292"/>
      <c r="I105" s="292"/>
      <c r="K105" s="292"/>
    </row>
    <row r="106" spans="1:11" s="785" customFormat="1">
      <c r="A106" s="787" t="s">
        <v>814</v>
      </c>
      <c r="B106" s="787" t="s">
        <v>14619</v>
      </c>
      <c r="C106" s="292" t="s">
        <v>14620</v>
      </c>
      <c r="D106" s="293">
        <v>8343</v>
      </c>
      <c r="F106" s="787" t="s">
        <v>14582</v>
      </c>
      <c r="G106" s="292"/>
      <c r="H106" s="292"/>
      <c r="I106" s="292"/>
      <c r="K106" s="292"/>
    </row>
    <row r="107" spans="1:11" s="785" customFormat="1">
      <c r="A107" s="787" t="s">
        <v>815</v>
      </c>
      <c r="B107" s="787" t="s">
        <v>14621</v>
      </c>
      <c r="C107" s="292" t="s">
        <v>14622</v>
      </c>
      <c r="D107" s="293">
        <v>9573</v>
      </c>
      <c r="F107" s="787" t="s">
        <v>14582</v>
      </c>
      <c r="G107" s="292"/>
      <c r="H107" s="292"/>
      <c r="I107" s="292"/>
      <c r="K107" s="292"/>
    </row>
    <row r="108" spans="1:11" s="785" customFormat="1">
      <c r="A108" s="787" t="s">
        <v>816</v>
      </c>
      <c r="B108" s="787" t="s">
        <v>14623</v>
      </c>
      <c r="C108" s="292" t="s">
        <v>14624</v>
      </c>
      <c r="D108" s="293">
        <v>9747</v>
      </c>
      <c r="F108" s="787" t="s">
        <v>14582</v>
      </c>
      <c r="G108" s="292"/>
      <c r="H108" s="292"/>
      <c r="I108" s="292"/>
      <c r="K108" s="292"/>
    </row>
    <row r="109" spans="1:11" s="785" customFormat="1">
      <c r="A109" s="787" t="s">
        <v>826</v>
      </c>
      <c r="B109" s="787" t="s">
        <v>14625</v>
      </c>
      <c r="C109" s="292" t="s">
        <v>14626</v>
      </c>
      <c r="D109" s="293">
        <v>9843</v>
      </c>
      <c r="F109" s="787" t="s">
        <v>14584</v>
      </c>
      <c r="G109" s="292"/>
      <c r="H109" s="292"/>
      <c r="I109" s="292"/>
      <c r="K109" s="292"/>
    </row>
    <row r="110" spans="1:11" s="785" customFormat="1">
      <c r="A110" s="787" t="s">
        <v>827</v>
      </c>
      <c r="B110" s="787" t="s">
        <v>14627</v>
      </c>
      <c r="C110" s="292" t="s">
        <v>14628</v>
      </c>
      <c r="D110" s="293">
        <v>8673</v>
      </c>
      <c r="F110" s="787" t="s">
        <v>14584</v>
      </c>
      <c r="G110" s="292"/>
      <c r="H110" s="292"/>
      <c r="I110" s="292"/>
      <c r="K110" s="292"/>
    </row>
    <row r="111" spans="1:11" s="785" customFormat="1">
      <c r="A111" s="787" t="s">
        <v>828</v>
      </c>
      <c r="B111" s="787" t="s">
        <v>9896</v>
      </c>
      <c r="C111" s="292" t="s">
        <v>14629</v>
      </c>
      <c r="D111" s="293">
        <v>9698</v>
      </c>
      <c r="F111" s="787" t="s">
        <v>14582</v>
      </c>
      <c r="G111" s="292"/>
      <c r="H111" s="292"/>
      <c r="I111" s="292"/>
      <c r="K111" s="292"/>
    </row>
    <row r="112" spans="1:11" s="785" customFormat="1">
      <c r="A112" s="787" t="s">
        <v>829</v>
      </c>
      <c r="B112" s="787" t="s">
        <v>14630</v>
      </c>
      <c r="C112" s="292" t="s">
        <v>14631</v>
      </c>
      <c r="D112" s="293">
        <v>9954</v>
      </c>
      <c r="F112" s="787" t="s">
        <v>14584</v>
      </c>
      <c r="G112" s="292"/>
      <c r="H112" s="292"/>
      <c r="I112" s="292"/>
      <c r="K112" s="292"/>
    </row>
    <row r="113" spans="1:11" s="785" customFormat="1">
      <c r="A113" s="787" t="s">
        <v>830</v>
      </c>
      <c r="B113" s="787" t="s">
        <v>8361</v>
      </c>
      <c r="C113" s="292" t="s">
        <v>14632</v>
      </c>
      <c r="D113" s="293">
        <v>9850</v>
      </c>
      <c r="F113" s="787" t="s">
        <v>14582</v>
      </c>
      <c r="G113" s="292"/>
      <c r="H113" s="292"/>
      <c r="I113" s="292"/>
      <c r="K113" s="292"/>
    </row>
    <row r="114" spans="1:11" s="785" customFormat="1">
      <c r="A114" s="787" t="s">
        <v>831</v>
      </c>
      <c r="B114" s="787" t="s">
        <v>14633</v>
      </c>
      <c r="C114" s="292" t="s">
        <v>14634</v>
      </c>
      <c r="D114" s="293">
        <v>8877</v>
      </c>
      <c r="F114" s="787" t="s">
        <v>14584</v>
      </c>
      <c r="G114" s="292"/>
      <c r="H114" s="292"/>
      <c r="I114" s="292"/>
      <c r="K114" s="292"/>
    </row>
    <row r="115" spans="1:11" s="785" customFormat="1">
      <c r="A115" s="787" t="s">
        <v>832</v>
      </c>
      <c r="B115" s="787" t="s">
        <v>9167</v>
      </c>
      <c r="C115" s="292" t="s">
        <v>14635</v>
      </c>
      <c r="D115" s="293">
        <v>9871</v>
      </c>
      <c r="F115" s="787" t="s">
        <v>14584</v>
      </c>
      <c r="G115" s="292"/>
      <c r="H115" s="292"/>
      <c r="I115" s="292"/>
      <c r="K115" s="292"/>
    </row>
    <row r="116" spans="1:11" s="785" customFormat="1">
      <c r="A116" s="787" t="s">
        <v>833</v>
      </c>
      <c r="B116" s="787" t="s">
        <v>9536</v>
      </c>
      <c r="C116" s="292" t="s">
        <v>14636</v>
      </c>
      <c r="D116" s="295">
        <v>9212</v>
      </c>
      <c r="F116" s="787" t="s">
        <v>14584</v>
      </c>
      <c r="G116" s="292"/>
      <c r="H116" s="292"/>
      <c r="I116" s="292"/>
      <c r="K116" s="292"/>
    </row>
    <row r="117" spans="1:11" s="785" customFormat="1">
      <c r="A117" s="787" t="s">
        <v>834</v>
      </c>
      <c r="B117" s="787" t="s">
        <v>14637</v>
      </c>
      <c r="C117" s="292" t="s">
        <v>14638</v>
      </c>
      <c r="D117" s="293">
        <v>10291</v>
      </c>
      <c r="F117" s="787" t="s">
        <v>14582</v>
      </c>
      <c r="G117" s="292"/>
      <c r="H117" s="292"/>
      <c r="I117" s="292"/>
      <c r="K117" s="292"/>
    </row>
    <row r="118" spans="1:11" s="785" customFormat="1">
      <c r="A118" s="787" t="s">
        <v>835</v>
      </c>
      <c r="B118" s="787" t="s">
        <v>14639</v>
      </c>
      <c r="C118" s="292" t="s">
        <v>14640</v>
      </c>
      <c r="D118" s="293">
        <v>7385</v>
      </c>
      <c r="F118" s="787" t="s">
        <v>14584</v>
      </c>
      <c r="G118" s="292"/>
      <c r="H118" s="292"/>
      <c r="I118" s="292"/>
      <c r="K118" s="292"/>
    </row>
    <row r="119" spans="1:11" s="785" customFormat="1">
      <c r="A119" s="795">
        <v>16</v>
      </c>
      <c r="B119" s="787" t="s">
        <v>14641</v>
      </c>
      <c r="C119" s="292" t="s">
        <v>14642</v>
      </c>
      <c r="D119" s="293">
        <v>9401</v>
      </c>
      <c r="F119" s="787" t="s">
        <v>14582</v>
      </c>
      <c r="G119" s="292"/>
      <c r="H119" s="292"/>
      <c r="I119" s="292"/>
      <c r="K119" s="292"/>
    </row>
    <row r="120" spans="1:11" s="785" customFormat="1">
      <c r="C120" s="786"/>
      <c r="D120" s="790"/>
    </row>
    <row r="121" spans="1:11" s="785" customFormat="1">
      <c r="A121" s="787" t="s">
        <v>14582</v>
      </c>
      <c r="C121" s="786"/>
      <c r="D121" s="788">
        <f>D104+SUM(D106:D108)+D111+D113+D117+D119</f>
        <v>75474</v>
      </c>
    </row>
    <row r="122" spans="1:11" s="785" customFormat="1">
      <c r="A122" s="787" t="s">
        <v>14584</v>
      </c>
      <c r="C122" s="786"/>
      <c r="D122" s="788">
        <f>D105+D109+D110+D112+SUM(D114:D116)+D118</f>
        <v>72705</v>
      </c>
    </row>
    <row r="123" spans="1:11" s="785" customFormat="1">
      <c r="C123" s="786"/>
    </row>
    <row r="124" spans="1:11" s="785" customFormat="1">
      <c r="A124" s="787" t="s">
        <v>14643</v>
      </c>
      <c r="C124" s="786"/>
    </row>
    <row r="125" spans="1:11" s="785" customFormat="1">
      <c r="A125" s="787"/>
      <c r="C125" s="786"/>
    </row>
    <row r="126" spans="1:11" s="785" customFormat="1">
      <c r="A126" s="787"/>
      <c r="C126" s="786"/>
    </row>
    <row r="127" spans="1:11" s="785" customFormat="1">
      <c r="C127" s="786"/>
      <c r="D127" s="10" t="s">
        <v>285</v>
      </c>
      <c r="E127" s="16"/>
      <c r="F127" s="5" t="s">
        <v>4116</v>
      </c>
    </row>
    <row r="128" spans="1:11" s="785" customFormat="1">
      <c r="C128" s="786"/>
      <c r="D128" s="15">
        <v>2016</v>
      </c>
      <c r="E128" s="16"/>
      <c r="F128" s="18" t="s">
        <v>286</v>
      </c>
    </row>
    <row r="129" spans="1:11" s="785" customFormat="1">
      <c r="A129" s="787" t="s">
        <v>14644</v>
      </c>
      <c r="C129" s="786"/>
      <c r="D129" s="788">
        <f>SUM(D130:D158)</f>
        <v>124473</v>
      </c>
    </row>
    <row r="130" spans="1:11" s="785" customFormat="1">
      <c r="A130" s="787" t="s">
        <v>812</v>
      </c>
      <c r="B130" s="787" t="s">
        <v>14645</v>
      </c>
      <c r="C130" s="292" t="s">
        <v>14646</v>
      </c>
      <c r="D130" s="293">
        <v>6624</v>
      </c>
      <c r="F130" s="787" t="s">
        <v>14561</v>
      </c>
      <c r="I130" s="292"/>
      <c r="K130" s="292"/>
    </row>
    <row r="131" spans="1:11" s="785" customFormat="1">
      <c r="A131" s="787" t="s">
        <v>813</v>
      </c>
      <c r="B131" s="787" t="s">
        <v>14647</v>
      </c>
      <c r="C131" s="292" t="s">
        <v>14648</v>
      </c>
      <c r="D131" s="295">
        <v>4353</v>
      </c>
      <c r="F131" s="787" t="s">
        <v>14578</v>
      </c>
      <c r="I131" s="292"/>
      <c r="K131" s="292"/>
    </row>
    <row r="132" spans="1:11" s="785" customFormat="1">
      <c r="A132" s="787" t="s">
        <v>814</v>
      </c>
      <c r="B132" s="787" t="s">
        <v>14649</v>
      </c>
      <c r="C132" s="292" t="s">
        <v>14650</v>
      </c>
      <c r="D132" s="295">
        <v>4261</v>
      </c>
      <c r="F132" s="787" t="s">
        <v>14578</v>
      </c>
      <c r="I132" s="292"/>
      <c r="K132" s="292"/>
    </row>
    <row r="133" spans="1:11" s="785" customFormat="1">
      <c r="A133" s="787" t="s">
        <v>815</v>
      </c>
      <c r="B133" s="787" t="s">
        <v>14651</v>
      </c>
      <c r="C133" s="292" t="s">
        <v>14652</v>
      </c>
      <c r="D133" s="293">
        <v>3936</v>
      </c>
      <c r="F133" s="787" t="s">
        <v>14561</v>
      </c>
      <c r="I133" s="292"/>
      <c r="K133" s="292"/>
    </row>
    <row r="134" spans="1:11" s="785" customFormat="1">
      <c r="A134" s="787" t="s">
        <v>816</v>
      </c>
      <c r="B134" s="787" t="s">
        <v>14653</v>
      </c>
      <c r="C134" s="292" t="s">
        <v>14654</v>
      </c>
      <c r="D134" s="293">
        <v>3798</v>
      </c>
      <c r="F134" s="787" t="s">
        <v>14561</v>
      </c>
      <c r="I134" s="292"/>
      <c r="K134" s="292"/>
    </row>
    <row r="135" spans="1:11" s="785" customFormat="1">
      <c r="A135" s="787" t="s">
        <v>826</v>
      </c>
      <c r="B135" s="787" t="s">
        <v>14655</v>
      </c>
      <c r="C135" s="292" t="s">
        <v>14656</v>
      </c>
      <c r="D135" s="293">
        <v>4321</v>
      </c>
      <c r="F135" s="787" t="s">
        <v>14561</v>
      </c>
      <c r="I135" s="292"/>
      <c r="K135" s="292"/>
    </row>
    <row r="136" spans="1:11" s="785" customFormat="1">
      <c r="A136" s="787" t="s">
        <v>827</v>
      </c>
      <c r="B136" s="787" t="s">
        <v>14657</v>
      </c>
      <c r="C136" s="292" t="s">
        <v>14658</v>
      </c>
      <c r="D136" s="293">
        <v>4335</v>
      </c>
      <c r="F136" s="787" t="s">
        <v>14561</v>
      </c>
      <c r="I136" s="292"/>
      <c r="K136" s="292"/>
    </row>
    <row r="137" spans="1:11" s="785" customFormat="1">
      <c r="A137" s="787" t="s">
        <v>828</v>
      </c>
      <c r="B137" s="787" t="s">
        <v>14659</v>
      </c>
      <c r="C137" s="292" t="s">
        <v>14660</v>
      </c>
      <c r="D137" s="295">
        <v>4556</v>
      </c>
      <c r="F137" s="787" t="s">
        <v>14661</v>
      </c>
      <c r="I137" s="292"/>
      <c r="K137" s="292"/>
    </row>
    <row r="138" spans="1:11" s="785" customFormat="1">
      <c r="A138" s="787" t="s">
        <v>829</v>
      </c>
      <c r="B138" s="787" t="s">
        <v>14662</v>
      </c>
      <c r="C138" s="292" t="s">
        <v>14663</v>
      </c>
      <c r="D138" s="293">
        <v>7340</v>
      </c>
      <c r="F138" s="787" t="s">
        <v>14561</v>
      </c>
      <c r="I138" s="292"/>
      <c r="K138" s="292"/>
    </row>
    <row r="139" spans="1:11" s="785" customFormat="1">
      <c r="A139" s="787" t="s">
        <v>830</v>
      </c>
      <c r="B139" s="787" t="s">
        <v>14664</v>
      </c>
      <c r="C139" s="292" t="s">
        <v>14665</v>
      </c>
      <c r="D139" s="295">
        <v>2221</v>
      </c>
      <c r="F139" s="787" t="s">
        <v>14578</v>
      </c>
      <c r="I139" s="292"/>
      <c r="K139" s="292"/>
    </row>
    <row r="140" spans="1:11" s="785" customFormat="1">
      <c r="A140" s="787" t="s">
        <v>831</v>
      </c>
      <c r="B140" s="787" t="s">
        <v>14666</v>
      </c>
      <c r="C140" s="292" t="s">
        <v>14667</v>
      </c>
      <c r="D140" s="293">
        <v>3821</v>
      </c>
      <c r="F140" s="787" t="s">
        <v>14561</v>
      </c>
      <c r="I140" s="292"/>
      <c r="K140" s="292"/>
    </row>
    <row r="141" spans="1:11" s="785" customFormat="1" ht="15" customHeight="1">
      <c r="A141" s="787" t="s">
        <v>832</v>
      </c>
      <c r="B141" s="787" t="s">
        <v>10060</v>
      </c>
      <c r="C141" s="292" t="s">
        <v>14668</v>
      </c>
      <c r="D141" s="293">
        <v>4636</v>
      </c>
      <c r="F141" s="787" t="s">
        <v>14561</v>
      </c>
      <c r="I141" s="292"/>
      <c r="K141" s="292"/>
    </row>
    <row r="142" spans="1:11" s="785" customFormat="1" ht="15" customHeight="1">
      <c r="A142" s="787" t="s">
        <v>833</v>
      </c>
      <c r="B142" s="787" t="s">
        <v>14669</v>
      </c>
      <c r="C142" s="292" t="s">
        <v>14670</v>
      </c>
      <c r="D142" s="293">
        <v>6406</v>
      </c>
      <c r="F142" s="787" t="s">
        <v>14561</v>
      </c>
      <c r="I142" s="292"/>
      <c r="K142" s="292"/>
    </row>
    <row r="143" spans="1:11" s="785" customFormat="1">
      <c r="A143" s="787" t="s">
        <v>834</v>
      </c>
      <c r="B143" s="787" t="s">
        <v>14671</v>
      </c>
      <c r="C143" s="292" t="s">
        <v>14672</v>
      </c>
      <c r="D143" s="293">
        <v>5634</v>
      </c>
      <c r="F143" s="787" t="s">
        <v>14561</v>
      </c>
      <c r="I143" s="292"/>
      <c r="K143" s="292"/>
    </row>
    <row r="144" spans="1:11" s="785" customFormat="1">
      <c r="A144" s="787" t="s">
        <v>835</v>
      </c>
      <c r="B144" s="787" t="s">
        <v>14673</v>
      </c>
      <c r="C144" s="292" t="s">
        <v>14674</v>
      </c>
      <c r="D144" s="295">
        <v>3860</v>
      </c>
      <c r="F144" s="787" t="s">
        <v>14661</v>
      </c>
      <c r="I144" s="292"/>
      <c r="K144" s="292"/>
    </row>
    <row r="145" spans="1:11" s="785" customFormat="1">
      <c r="A145" s="787" t="s">
        <v>836</v>
      </c>
      <c r="B145" s="787" t="s">
        <v>12587</v>
      </c>
      <c r="C145" s="292" t="s">
        <v>14675</v>
      </c>
      <c r="D145" s="293">
        <v>5770</v>
      </c>
      <c r="F145" s="787" t="s">
        <v>14561</v>
      </c>
      <c r="I145" s="292"/>
      <c r="K145" s="292"/>
    </row>
    <row r="146" spans="1:11" s="785" customFormat="1">
      <c r="A146" s="787" t="s">
        <v>837</v>
      </c>
      <c r="B146" s="787" t="s">
        <v>14676</v>
      </c>
      <c r="C146" s="292" t="s">
        <v>14677</v>
      </c>
      <c r="D146" s="295">
        <v>5388</v>
      </c>
      <c r="F146" s="787" t="s">
        <v>14578</v>
      </c>
      <c r="I146" s="292"/>
      <c r="K146" s="292"/>
    </row>
    <row r="147" spans="1:11" s="785" customFormat="1">
      <c r="A147" s="787" t="s">
        <v>838</v>
      </c>
      <c r="B147" s="787" t="s">
        <v>14678</v>
      </c>
      <c r="C147" s="292" t="s">
        <v>14679</v>
      </c>
      <c r="D147" s="295">
        <v>3795</v>
      </c>
      <c r="F147" s="787" t="s">
        <v>14578</v>
      </c>
      <c r="I147" s="292"/>
      <c r="K147" s="292"/>
    </row>
    <row r="148" spans="1:11" s="785" customFormat="1">
      <c r="A148" s="787" t="s">
        <v>840</v>
      </c>
      <c r="B148" s="787" t="s">
        <v>14680</v>
      </c>
      <c r="C148" s="292" t="s">
        <v>14681</v>
      </c>
      <c r="D148" s="295">
        <v>3598</v>
      </c>
      <c r="F148" s="787" t="s">
        <v>14578</v>
      </c>
      <c r="I148" s="292"/>
      <c r="K148" s="292"/>
    </row>
    <row r="149" spans="1:11" s="785" customFormat="1">
      <c r="A149" s="787" t="s">
        <v>841</v>
      </c>
      <c r="B149" s="787" t="s">
        <v>14682</v>
      </c>
      <c r="C149" s="292" t="s">
        <v>14683</v>
      </c>
      <c r="D149" s="293">
        <v>4373</v>
      </c>
      <c r="F149" s="787" t="s">
        <v>14561</v>
      </c>
      <c r="I149" s="292"/>
      <c r="K149" s="292"/>
    </row>
    <row r="150" spans="1:11" s="785" customFormat="1">
      <c r="A150" s="787" t="s">
        <v>878</v>
      </c>
      <c r="B150" s="787" t="s">
        <v>14684</v>
      </c>
      <c r="C150" s="292" t="s">
        <v>14685</v>
      </c>
      <c r="D150" s="293">
        <v>3551</v>
      </c>
      <c r="F150" s="787" t="s">
        <v>14561</v>
      </c>
      <c r="I150" s="292"/>
      <c r="K150" s="292"/>
    </row>
    <row r="151" spans="1:11" s="785" customFormat="1">
      <c r="A151" s="787" t="s">
        <v>879</v>
      </c>
      <c r="B151" s="787" t="s">
        <v>14686</v>
      </c>
      <c r="C151" s="292" t="s">
        <v>14687</v>
      </c>
      <c r="D151" s="293">
        <v>2671</v>
      </c>
      <c r="F151" s="787" t="s">
        <v>14561</v>
      </c>
      <c r="I151" s="292"/>
      <c r="K151" s="292"/>
    </row>
    <row r="152" spans="1:11" s="785" customFormat="1">
      <c r="A152" s="787" t="s">
        <v>880</v>
      </c>
      <c r="B152" s="787" t="s">
        <v>14688</v>
      </c>
      <c r="C152" s="292" t="s">
        <v>14689</v>
      </c>
      <c r="D152" s="295">
        <v>1727</v>
      </c>
      <c r="F152" s="787" t="s">
        <v>14578</v>
      </c>
      <c r="I152" s="292"/>
      <c r="K152" s="292"/>
    </row>
    <row r="153" spans="1:11" s="785" customFormat="1">
      <c r="A153" s="787" t="s">
        <v>721</v>
      </c>
      <c r="B153" s="787" t="s">
        <v>14690</v>
      </c>
      <c r="C153" s="292" t="s">
        <v>14691</v>
      </c>
      <c r="D153" s="293">
        <v>6220</v>
      </c>
      <c r="F153" s="787" t="s">
        <v>14561</v>
      </c>
      <c r="I153" s="292"/>
      <c r="K153" s="292"/>
    </row>
    <row r="154" spans="1:11" s="785" customFormat="1">
      <c r="A154" s="787" t="s">
        <v>722</v>
      </c>
      <c r="B154" s="787" t="s">
        <v>14692</v>
      </c>
      <c r="C154" s="292" t="s">
        <v>14693</v>
      </c>
      <c r="D154" s="295">
        <v>2067</v>
      </c>
      <c r="F154" s="787" t="s">
        <v>14578</v>
      </c>
      <c r="I154" s="292"/>
      <c r="K154" s="292"/>
    </row>
    <row r="155" spans="1:11" s="785" customFormat="1">
      <c r="A155" s="795">
        <v>26</v>
      </c>
      <c r="B155" s="787" t="s">
        <v>14694</v>
      </c>
      <c r="C155" s="292" t="s">
        <v>14695</v>
      </c>
      <c r="D155" s="295">
        <v>4374</v>
      </c>
      <c r="F155" s="787" t="s">
        <v>14578</v>
      </c>
      <c r="I155" s="292"/>
      <c r="K155" s="292"/>
    </row>
    <row r="156" spans="1:11" s="785" customFormat="1">
      <c r="A156" s="795">
        <v>27</v>
      </c>
      <c r="B156" s="787" t="s">
        <v>14696</v>
      </c>
      <c r="C156" s="292" t="s">
        <v>14697</v>
      </c>
      <c r="D156" s="295">
        <v>2240</v>
      </c>
      <c r="F156" s="787" t="s">
        <v>14577</v>
      </c>
      <c r="I156" s="292"/>
      <c r="K156" s="292"/>
    </row>
    <row r="157" spans="1:11" s="785" customFormat="1">
      <c r="A157" s="795">
        <v>28</v>
      </c>
      <c r="B157" s="787" t="s">
        <v>14698</v>
      </c>
      <c r="C157" s="292" t="s">
        <v>14699</v>
      </c>
      <c r="D157" s="295">
        <v>4007</v>
      </c>
      <c r="F157" s="787" t="s">
        <v>14661</v>
      </c>
      <c r="I157" s="292"/>
      <c r="K157" s="292"/>
    </row>
    <row r="158" spans="1:11" s="785" customFormat="1">
      <c r="A158" s="795">
        <v>29</v>
      </c>
      <c r="B158" s="787" t="s">
        <v>14700</v>
      </c>
      <c r="C158" s="292" t="s">
        <v>14701</v>
      </c>
      <c r="D158" s="295">
        <v>4590</v>
      </c>
      <c r="F158" s="787" t="s">
        <v>14561</v>
      </c>
      <c r="I158" s="292"/>
      <c r="K158" s="292"/>
    </row>
    <row r="159" spans="1:11" s="785" customFormat="1">
      <c r="C159" s="786"/>
      <c r="D159" s="790"/>
    </row>
    <row r="160" spans="1:11" s="785" customFormat="1">
      <c r="A160" s="787" t="s">
        <v>14561</v>
      </c>
      <c r="C160" s="786"/>
      <c r="D160" s="788">
        <f>D130+SUM(D133:D136)+D138+SUM(D140:D143)+D145+SUM(D149:D151)+D153+D158</f>
        <v>78026</v>
      </c>
    </row>
    <row r="161" spans="1:11" s="785" customFormat="1">
      <c r="A161" s="787" t="s">
        <v>14702</v>
      </c>
      <c r="C161" s="786"/>
      <c r="D161" s="788">
        <f>D156</f>
        <v>2240</v>
      </c>
    </row>
    <row r="162" spans="1:11" s="785" customFormat="1">
      <c r="A162" s="787" t="s">
        <v>14703</v>
      </c>
      <c r="C162" s="786"/>
      <c r="D162" s="788">
        <f>D131+D132+D137+D139+D144+SUM(D146:D148)+D152+D154+D155+D157</f>
        <v>44207</v>
      </c>
    </row>
    <row r="163" spans="1:11" s="785" customFormat="1">
      <c r="A163" s="787"/>
      <c r="B163" s="787"/>
      <c r="C163" s="786"/>
      <c r="D163" s="797"/>
    </row>
    <row r="164" spans="1:11" s="785" customFormat="1">
      <c r="A164" s="787" t="s">
        <v>14704</v>
      </c>
      <c r="B164" s="787"/>
      <c r="C164" s="786"/>
      <c r="D164" s="797"/>
    </row>
    <row r="165" spans="1:11" s="785" customFormat="1">
      <c r="A165" s="787"/>
      <c r="B165" s="787"/>
      <c r="C165" s="786"/>
      <c r="D165" s="797"/>
    </row>
    <row r="166" spans="1:11" s="785" customFormat="1">
      <c r="A166" s="787"/>
      <c r="B166" s="787"/>
      <c r="C166" s="786"/>
      <c r="D166" s="797"/>
    </row>
    <row r="167" spans="1:11" s="785" customFormat="1">
      <c r="C167" s="786"/>
      <c r="D167" s="10" t="s">
        <v>285</v>
      </c>
      <c r="E167" s="16"/>
      <c r="F167" s="5" t="s">
        <v>4116</v>
      </c>
    </row>
    <row r="168" spans="1:11" s="785" customFormat="1">
      <c r="C168" s="786"/>
      <c r="D168" s="15">
        <v>2016</v>
      </c>
      <c r="E168" s="16"/>
      <c r="F168" s="18" t="s">
        <v>286</v>
      </c>
    </row>
    <row r="169" spans="1:11" s="785" customFormat="1">
      <c r="A169" s="787" t="s">
        <v>14705</v>
      </c>
      <c r="C169" s="786"/>
      <c r="D169" s="788">
        <f t="shared" ref="D169" si="36">SUM(D170:D207)</f>
        <v>86488</v>
      </c>
    </row>
    <row r="170" spans="1:11" s="785" customFormat="1">
      <c r="A170" s="787" t="s">
        <v>812</v>
      </c>
      <c r="B170" s="787" t="s">
        <v>14706</v>
      </c>
      <c r="C170" s="292" t="s">
        <v>14707</v>
      </c>
      <c r="D170" s="293">
        <v>1762</v>
      </c>
      <c r="F170" s="787" t="s">
        <v>14577</v>
      </c>
      <c r="G170" s="781"/>
      <c r="I170" s="292"/>
      <c r="K170" s="292"/>
    </row>
    <row r="171" spans="1:11" s="785" customFormat="1">
      <c r="A171" s="787" t="s">
        <v>813</v>
      </c>
      <c r="B171" s="787" t="s">
        <v>14708</v>
      </c>
      <c r="C171" s="292" t="s">
        <v>14709</v>
      </c>
      <c r="D171" s="293">
        <v>1891</v>
      </c>
      <c r="F171" s="787" t="s">
        <v>14577</v>
      </c>
      <c r="G171" s="781"/>
      <c r="I171" s="292"/>
      <c r="K171" s="292"/>
    </row>
    <row r="172" spans="1:11" s="785" customFormat="1">
      <c r="A172" s="787" t="s">
        <v>814</v>
      </c>
      <c r="B172" s="787" t="s">
        <v>14710</v>
      </c>
      <c r="C172" s="292" t="s">
        <v>14711</v>
      </c>
      <c r="D172" s="293">
        <v>1941</v>
      </c>
      <c r="F172" s="787" t="s">
        <v>14577</v>
      </c>
      <c r="G172" s="781"/>
      <c r="I172" s="292"/>
      <c r="K172" s="292"/>
    </row>
    <row r="173" spans="1:11" s="785" customFormat="1">
      <c r="A173" s="787" t="s">
        <v>815</v>
      </c>
      <c r="B173" s="787" t="s">
        <v>14712</v>
      </c>
      <c r="C173" s="292" t="s">
        <v>14713</v>
      </c>
      <c r="D173" s="293">
        <v>2179</v>
      </c>
      <c r="F173" s="787" t="s">
        <v>14577</v>
      </c>
      <c r="G173" s="781"/>
      <c r="I173" s="292"/>
      <c r="K173" s="292"/>
    </row>
    <row r="174" spans="1:11" s="785" customFormat="1">
      <c r="A174" s="787" t="s">
        <v>816</v>
      </c>
      <c r="B174" s="787" t="s">
        <v>14714</v>
      </c>
      <c r="C174" s="292" t="s">
        <v>14715</v>
      </c>
      <c r="D174" s="293">
        <v>2310</v>
      </c>
      <c r="F174" s="787" t="s">
        <v>14577</v>
      </c>
      <c r="G174" s="781"/>
      <c r="I174" s="292"/>
      <c r="K174" s="292"/>
    </row>
    <row r="175" spans="1:11" s="785" customFormat="1">
      <c r="A175" s="787" t="s">
        <v>826</v>
      </c>
      <c r="B175" s="787" t="s">
        <v>14716</v>
      </c>
      <c r="C175" s="292" t="s">
        <v>14717</v>
      </c>
      <c r="D175" s="293">
        <v>1670</v>
      </c>
      <c r="F175" s="787" t="s">
        <v>14577</v>
      </c>
      <c r="G175" s="781"/>
      <c r="I175" s="292"/>
      <c r="K175" s="292"/>
    </row>
    <row r="176" spans="1:11" s="785" customFormat="1">
      <c r="A176" s="787" t="s">
        <v>827</v>
      </c>
      <c r="B176" s="787" t="s">
        <v>14718</v>
      </c>
      <c r="C176" s="292" t="s">
        <v>14719</v>
      </c>
      <c r="D176" s="293">
        <v>2272</v>
      </c>
      <c r="F176" s="787" t="s">
        <v>14563</v>
      </c>
      <c r="G176" s="781"/>
      <c r="I176" s="292"/>
      <c r="K176" s="292"/>
    </row>
    <row r="177" spans="1:11" s="785" customFormat="1">
      <c r="A177" s="787" t="s">
        <v>828</v>
      </c>
      <c r="B177" s="787" t="s">
        <v>14720</v>
      </c>
      <c r="C177" s="292" t="s">
        <v>14721</v>
      </c>
      <c r="D177" s="293">
        <v>6472</v>
      </c>
      <c r="F177" s="787" t="s">
        <v>14563</v>
      </c>
      <c r="G177" s="781"/>
      <c r="I177" s="292"/>
      <c r="K177" s="292"/>
    </row>
    <row r="178" spans="1:11" s="785" customFormat="1">
      <c r="A178" s="787" t="s">
        <v>829</v>
      </c>
      <c r="B178" s="787" t="s">
        <v>14722</v>
      </c>
      <c r="C178" s="292" t="s">
        <v>14723</v>
      </c>
      <c r="D178" s="295">
        <v>4252</v>
      </c>
      <c r="F178" s="787" t="s">
        <v>14563</v>
      </c>
      <c r="G178" s="783"/>
      <c r="I178" s="292"/>
      <c r="K178" s="292"/>
    </row>
    <row r="179" spans="1:11" s="785" customFormat="1">
      <c r="A179" s="787" t="s">
        <v>830</v>
      </c>
      <c r="B179" s="787" t="s">
        <v>14724</v>
      </c>
      <c r="C179" s="292" t="s">
        <v>14725</v>
      </c>
      <c r="D179" s="293">
        <v>2019</v>
      </c>
      <c r="F179" s="787" t="s">
        <v>14563</v>
      </c>
      <c r="G179" s="781"/>
      <c r="I179" s="292"/>
      <c r="K179" s="292"/>
    </row>
    <row r="180" spans="1:11" s="785" customFormat="1">
      <c r="A180" s="787" t="s">
        <v>831</v>
      </c>
      <c r="B180" s="787" t="s">
        <v>14726</v>
      </c>
      <c r="C180" s="292" t="s">
        <v>14727</v>
      </c>
      <c r="D180" s="293">
        <v>1768</v>
      </c>
      <c r="F180" s="787" t="s">
        <v>14563</v>
      </c>
      <c r="G180" s="781"/>
      <c r="I180" s="292"/>
      <c r="K180" s="292"/>
    </row>
    <row r="181" spans="1:11" s="785" customFormat="1">
      <c r="A181" s="795">
        <v>12</v>
      </c>
      <c r="B181" s="787" t="s">
        <v>14728</v>
      </c>
      <c r="C181" s="292" t="s">
        <v>14729</v>
      </c>
      <c r="D181" s="293">
        <v>5045</v>
      </c>
      <c r="F181" s="787" t="s">
        <v>14563</v>
      </c>
      <c r="G181" s="781"/>
      <c r="I181" s="292"/>
      <c r="K181" s="292"/>
    </row>
    <row r="182" spans="1:11" s="785" customFormat="1">
      <c r="A182" s="795">
        <v>13</v>
      </c>
      <c r="B182" s="787" t="s">
        <v>14730</v>
      </c>
      <c r="C182" s="292" t="s">
        <v>14731</v>
      </c>
      <c r="D182" s="293">
        <v>1887</v>
      </c>
      <c r="F182" s="787" t="s">
        <v>14563</v>
      </c>
      <c r="G182" s="781"/>
      <c r="I182" s="292"/>
      <c r="K182" s="292"/>
    </row>
    <row r="183" spans="1:11" s="785" customFormat="1">
      <c r="A183" s="787" t="s">
        <v>834</v>
      </c>
      <c r="B183" s="787" t="s">
        <v>14732</v>
      </c>
      <c r="C183" s="292" t="s">
        <v>14733</v>
      </c>
      <c r="D183" s="293">
        <v>1812</v>
      </c>
      <c r="F183" s="787" t="s">
        <v>14563</v>
      </c>
      <c r="G183" s="781"/>
      <c r="I183" s="292"/>
      <c r="K183" s="292"/>
    </row>
    <row r="184" spans="1:11" s="785" customFormat="1">
      <c r="A184" s="787" t="s">
        <v>835</v>
      </c>
      <c r="B184" s="787" t="s">
        <v>14734</v>
      </c>
      <c r="C184" s="292" t="s">
        <v>14735</v>
      </c>
      <c r="D184" s="293">
        <v>4324</v>
      </c>
      <c r="F184" s="787" t="s">
        <v>14563</v>
      </c>
      <c r="G184" s="781"/>
      <c r="I184" s="292"/>
      <c r="K184" s="292"/>
    </row>
    <row r="185" spans="1:11" s="785" customFormat="1">
      <c r="A185" s="787" t="s">
        <v>836</v>
      </c>
      <c r="B185" s="787" t="s">
        <v>14736</v>
      </c>
      <c r="C185" s="292" t="s">
        <v>14737</v>
      </c>
      <c r="D185" s="293">
        <v>2421</v>
      </c>
      <c r="F185" s="787" t="s">
        <v>14577</v>
      </c>
      <c r="G185" s="781"/>
      <c r="I185" s="292"/>
      <c r="K185" s="292"/>
    </row>
    <row r="186" spans="1:11" s="785" customFormat="1">
      <c r="A186" s="787" t="s">
        <v>837</v>
      </c>
      <c r="B186" s="787" t="s">
        <v>14738</v>
      </c>
      <c r="C186" s="292" t="s">
        <v>14739</v>
      </c>
      <c r="D186" s="295">
        <v>1848</v>
      </c>
      <c r="F186" s="787" t="s">
        <v>14563</v>
      </c>
      <c r="G186" s="783"/>
      <c r="I186" s="292"/>
      <c r="K186" s="292"/>
    </row>
    <row r="187" spans="1:11" s="785" customFormat="1">
      <c r="A187" s="787" t="s">
        <v>838</v>
      </c>
      <c r="B187" s="787" t="s">
        <v>14740</v>
      </c>
      <c r="C187" s="292" t="s">
        <v>14741</v>
      </c>
      <c r="D187" s="295">
        <v>1904</v>
      </c>
      <c r="F187" s="787" t="s">
        <v>14563</v>
      </c>
      <c r="G187" s="783"/>
      <c r="I187" s="292"/>
      <c r="K187" s="292"/>
    </row>
    <row r="188" spans="1:11" s="785" customFormat="1">
      <c r="A188" s="787" t="s">
        <v>840</v>
      </c>
      <c r="B188" s="787" t="s">
        <v>14742</v>
      </c>
      <c r="C188" s="292" t="s">
        <v>14743</v>
      </c>
      <c r="D188" s="295">
        <v>2066</v>
      </c>
      <c r="F188" s="787" t="s">
        <v>14563</v>
      </c>
      <c r="G188" s="783"/>
      <c r="I188" s="292"/>
      <c r="K188" s="292"/>
    </row>
    <row r="189" spans="1:11" s="785" customFormat="1">
      <c r="A189" s="787" t="s">
        <v>841</v>
      </c>
      <c r="B189" s="787" t="s">
        <v>14744</v>
      </c>
      <c r="C189" s="292" t="s">
        <v>14745</v>
      </c>
      <c r="D189" s="295">
        <v>2378</v>
      </c>
      <c r="F189" s="787" t="s">
        <v>14563</v>
      </c>
      <c r="G189" s="783"/>
      <c r="I189" s="292"/>
      <c r="K189" s="292"/>
    </row>
    <row r="190" spans="1:11" s="785" customFormat="1">
      <c r="A190" s="787" t="s">
        <v>878</v>
      </c>
      <c r="B190" s="787" t="s">
        <v>14746</v>
      </c>
      <c r="C190" s="292" t="s">
        <v>14747</v>
      </c>
      <c r="D190" s="295">
        <v>1869</v>
      </c>
      <c r="F190" s="787" t="s">
        <v>14563</v>
      </c>
      <c r="G190" s="783"/>
      <c r="I190" s="292"/>
      <c r="K190" s="292"/>
    </row>
    <row r="191" spans="1:11" s="785" customFormat="1">
      <c r="A191" s="787" t="s">
        <v>879</v>
      </c>
      <c r="B191" s="787" t="s">
        <v>14748</v>
      </c>
      <c r="C191" s="292" t="s">
        <v>14749</v>
      </c>
      <c r="D191" s="295">
        <v>2026</v>
      </c>
      <c r="F191" s="787" t="s">
        <v>14563</v>
      </c>
      <c r="G191" s="783"/>
      <c r="I191" s="292"/>
      <c r="K191" s="292"/>
    </row>
    <row r="192" spans="1:11" s="785" customFormat="1">
      <c r="A192" s="787" t="s">
        <v>880</v>
      </c>
      <c r="B192" s="787" t="s">
        <v>14750</v>
      </c>
      <c r="C192" s="292" t="s">
        <v>14751</v>
      </c>
      <c r="D192" s="295">
        <v>3695</v>
      </c>
      <c r="F192" s="787" t="s">
        <v>14563</v>
      </c>
      <c r="G192" s="783"/>
      <c r="I192" s="292"/>
      <c r="K192" s="292"/>
    </row>
    <row r="193" spans="1:11" s="785" customFormat="1">
      <c r="A193" s="787" t="s">
        <v>721</v>
      </c>
      <c r="B193" s="787" t="s">
        <v>14752</v>
      </c>
      <c r="C193" s="292" t="s">
        <v>14753</v>
      </c>
      <c r="D193" s="295">
        <v>1737</v>
      </c>
      <c r="F193" s="787" t="s">
        <v>14563</v>
      </c>
      <c r="G193" s="783"/>
      <c r="I193" s="292"/>
      <c r="K193" s="292"/>
    </row>
    <row r="194" spans="1:11" s="785" customFormat="1">
      <c r="A194" s="787" t="s">
        <v>722</v>
      </c>
      <c r="B194" s="787" t="s">
        <v>14754</v>
      </c>
      <c r="C194" s="292" t="s">
        <v>14755</v>
      </c>
      <c r="D194" s="295">
        <v>1918</v>
      </c>
      <c r="F194" s="787" t="s">
        <v>14563</v>
      </c>
      <c r="G194" s="783"/>
      <c r="I194" s="292"/>
      <c r="K194" s="292"/>
    </row>
    <row r="195" spans="1:11" s="785" customFormat="1">
      <c r="A195" s="787" t="s">
        <v>723</v>
      </c>
      <c r="B195" s="787" t="s">
        <v>14756</v>
      </c>
      <c r="C195" s="292" t="s">
        <v>14757</v>
      </c>
      <c r="D195" s="295">
        <v>1542</v>
      </c>
      <c r="F195" s="787" t="s">
        <v>14563</v>
      </c>
      <c r="G195" s="783"/>
      <c r="I195" s="292"/>
      <c r="K195" s="292"/>
    </row>
    <row r="196" spans="1:11" s="785" customFormat="1">
      <c r="A196" s="787" t="s">
        <v>733</v>
      </c>
      <c r="B196" s="787" t="s">
        <v>14758</v>
      </c>
      <c r="C196" s="292" t="s">
        <v>14759</v>
      </c>
      <c r="D196" s="295">
        <v>1897</v>
      </c>
      <c r="F196" s="787" t="s">
        <v>14563</v>
      </c>
      <c r="G196" s="783"/>
      <c r="I196" s="292"/>
      <c r="K196" s="292"/>
    </row>
    <row r="197" spans="1:11" s="785" customFormat="1">
      <c r="A197" s="787" t="s">
        <v>734</v>
      </c>
      <c r="B197" s="787" t="s">
        <v>14760</v>
      </c>
      <c r="C197" s="292" t="s">
        <v>14761</v>
      </c>
      <c r="D197" s="295">
        <v>1990</v>
      </c>
      <c r="F197" s="787" t="s">
        <v>14563</v>
      </c>
      <c r="G197" s="783"/>
      <c r="I197" s="292"/>
      <c r="K197" s="292"/>
    </row>
    <row r="198" spans="1:11" s="785" customFormat="1">
      <c r="A198" s="787" t="s">
        <v>735</v>
      </c>
      <c r="B198" s="787" t="s">
        <v>14762</v>
      </c>
      <c r="C198" s="292" t="s">
        <v>14763</v>
      </c>
      <c r="D198" s="295">
        <v>1778</v>
      </c>
      <c r="F198" s="787" t="s">
        <v>14563</v>
      </c>
      <c r="G198" s="783"/>
      <c r="I198" s="292"/>
      <c r="K198" s="292"/>
    </row>
    <row r="199" spans="1:11" s="785" customFormat="1">
      <c r="A199" s="787" t="s">
        <v>736</v>
      </c>
      <c r="B199" s="787" t="s">
        <v>14764</v>
      </c>
      <c r="C199" s="292" t="s">
        <v>14765</v>
      </c>
      <c r="D199" s="295">
        <v>1764</v>
      </c>
      <c r="F199" s="787" t="s">
        <v>14563</v>
      </c>
      <c r="G199" s="783"/>
      <c r="I199" s="292"/>
      <c r="K199" s="292"/>
    </row>
    <row r="200" spans="1:11" s="785" customFormat="1">
      <c r="A200" s="787" t="s">
        <v>931</v>
      </c>
      <c r="B200" s="787" t="s">
        <v>14766</v>
      </c>
      <c r="C200" s="292" t="s">
        <v>14767</v>
      </c>
      <c r="D200" s="295">
        <v>2108</v>
      </c>
      <c r="F200" s="787" t="s">
        <v>14563</v>
      </c>
      <c r="G200" s="783"/>
      <c r="I200" s="292"/>
      <c r="K200" s="292"/>
    </row>
    <row r="201" spans="1:11" s="785" customFormat="1">
      <c r="A201" s="795">
        <v>32</v>
      </c>
      <c r="B201" s="787" t="s">
        <v>14768</v>
      </c>
      <c r="C201" s="292" t="s">
        <v>14769</v>
      </c>
      <c r="D201" s="295">
        <v>1799</v>
      </c>
      <c r="F201" s="787" t="s">
        <v>14563</v>
      </c>
      <c r="G201" s="783"/>
      <c r="I201" s="292"/>
      <c r="K201" s="292"/>
    </row>
    <row r="202" spans="1:11" s="785" customFormat="1">
      <c r="A202" s="795">
        <v>33</v>
      </c>
      <c r="B202" s="787" t="s">
        <v>14770</v>
      </c>
      <c r="C202" s="292" t="s">
        <v>14771</v>
      </c>
      <c r="D202" s="295">
        <v>1849</v>
      </c>
      <c r="F202" s="787" t="s">
        <v>14563</v>
      </c>
      <c r="G202" s="783"/>
      <c r="I202" s="292"/>
      <c r="K202" s="292"/>
    </row>
    <row r="203" spans="1:11" s="785" customFormat="1">
      <c r="A203" s="795">
        <v>34</v>
      </c>
      <c r="B203" s="787" t="s">
        <v>14772</v>
      </c>
      <c r="C203" s="292" t="s">
        <v>14773</v>
      </c>
      <c r="D203" s="295">
        <v>1603</v>
      </c>
      <c r="F203" s="787" t="s">
        <v>14563</v>
      </c>
      <c r="G203" s="783"/>
      <c r="I203" s="292"/>
      <c r="K203" s="292"/>
    </row>
    <row r="204" spans="1:11" s="785" customFormat="1">
      <c r="A204" s="795">
        <v>35</v>
      </c>
      <c r="B204" s="787" t="s">
        <v>14774</v>
      </c>
      <c r="C204" s="292" t="s">
        <v>14775</v>
      </c>
      <c r="D204" s="295">
        <v>1725</v>
      </c>
      <c r="F204" s="787" t="s">
        <v>14563</v>
      </c>
      <c r="G204" s="783"/>
      <c r="I204" s="292"/>
      <c r="K204" s="292"/>
    </row>
    <row r="205" spans="1:11" s="785" customFormat="1">
      <c r="A205" s="795">
        <v>36</v>
      </c>
      <c r="B205" s="787" t="s">
        <v>14776</v>
      </c>
      <c r="C205" s="292" t="s">
        <v>14777</v>
      </c>
      <c r="D205" s="295">
        <v>1617</v>
      </c>
      <c r="F205" s="787" t="s">
        <v>14563</v>
      </c>
      <c r="G205" s="783"/>
      <c r="I205" s="292"/>
      <c r="K205" s="292"/>
    </row>
    <row r="206" spans="1:11" s="785" customFormat="1">
      <c r="A206" s="795">
        <v>37</v>
      </c>
      <c r="B206" s="787" t="s">
        <v>14778</v>
      </c>
      <c r="C206" s="292" t="s">
        <v>14779</v>
      </c>
      <c r="D206" s="295">
        <v>1727</v>
      </c>
      <c r="F206" s="787" t="s">
        <v>14563</v>
      </c>
      <c r="G206" s="783"/>
      <c r="I206" s="292"/>
      <c r="K206" s="292"/>
    </row>
    <row r="207" spans="1:11" s="785" customFormat="1">
      <c r="A207" s="795">
        <v>38</v>
      </c>
      <c r="B207" s="787" t="s">
        <v>14780</v>
      </c>
      <c r="C207" s="292" t="s">
        <v>14781</v>
      </c>
      <c r="D207" s="295">
        <v>1623</v>
      </c>
      <c r="F207" s="787" t="s">
        <v>14563</v>
      </c>
      <c r="G207" s="783"/>
      <c r="I207" s="292"/>
      <c r="K207" s="292"/>
    </row>
    <row r="208" spans="1:11" s="785" customFormat="1">
      <c r="C208" s="786"/>
      <c r="D208" s="790"/>
    </row>
    <row r="209" spans="1:11" s="785" customFormat="1">
      <c r="A209" s="787" t="s">
        <v>14563</v>
      </c>
      <c r="C209" s="786"/>
      <c r="D209" s="788">
        <f>SUM(D176:D184)+SUM(D186:D207)</f>
        <v>72314</v>
      </c>
    </row>
    <row r="210" spans="1:11" s="785" customFormat="1">
      <c r="A210" s="787" t="s">
        <v>14702</v>
      </c>
      <c r="C210" s="786"/>
      <c r="D210" s="788">
        <f>SUM(D170:D175)+D185</f>
        <v>14174</v>
      </c>
    </row>
    <row r="211" spans="1:11" s="785" customFormat="1">
      <c r="A211" s="787"/>
      <c r="B211" s="787"/>
      <c r="C211" s="786"/>
      <c r="D211" s="797"/>
    </row>
    <row r="212" spans="1:11" s="785" customFormat="1">
      <c r="A212" s="787" t="s">
        <v>14782</v>
      </c>
      <c r="B212" s="787"/>
      <c r="C212" s="786"/>
      <c r="D212" s="797"/>
    </row>
    <row r="213" spans="1:11" s="785" customFormat="1">
      <c r="A213" s="787"/>
      <c r="B213" s="787"/>
      <c r="C213" s="786"/>
      <c r="D213" s="797"/>
    </row>
    <row r="214" spans="1:11" s="785" customFormat="1">
      <c r="A214" s="787"/>
      <c r="B214" s="787"/>
      <c r="C214" s="786"/>
      <c r="D214" s="797"/>
    </row>
    <row r="215" spans="1:11" s="785" customFormat="1">
      <c r="C215" s="786"/>
      <c r="D215" s="10" t="s">
        <v>285</v>
      </c>
      <c r="E215" s="16"/>
      <c r="F215" s="5" t="s">
        <v>4116</v>
      </c>
    </row>
    <row r="216" spans="1:11" s="785" customFormat="1">
      <c r="C216" s="786"/>
      <c r="D216" s="15">
        <v>2016</v>
      </c>
      <c r="E216" s="16"/>
      <c r="F216" s="18" t="s">
        <v>286</v>
      </c>
    </row>
    <row r="217" spans="1:11" s="785" customFormat="1">
      <c r="A217" s="787" t="s">
        <v>14783</v>
      </c>
      <c r="C217" s="786"/>
      <c r="D217" s="788">
        <f t="shared" ref="D217" si="37">SUM(D218:D236)</f>
        <v>94165</v>
      </c>
    </row>
    <row r="218" spans="1:11" s="785" customFormat="1">
      <c r="A218" s="787" t="s">
        <v>812</v>
      </c>
      <c r="B218" s="787" t="s">
        <v>14784</v>
      </c>
      <c r="C218" s="292" t="s">
        <v>14785</v>
      </c>
      <c r="D218" s="293">
        <v>4262</v>
      </c>
      <c r="F218" s="787" t="s">
        <v>14565</v>
      </c>
      <c r="G218" s="781"/>
      <c r="I218" s="292"/>
      <c r="K218" s="292"/>
    </row>
    <row r="219" spans="1:11" s="785" customFormat="1">
      <c r="A219" s="787" t="s">
        <v>813</v>
      </c>
      <c r="B219" s="787" t="s">
        <v>14786</v>
      </c>
      <c r="C219" s="292" t="s">
        <v>14787</v>
      </c>
      <c r="D219" s="293">
        <v>4202</v>
      </c>
      <c r="F219" s="787" t="s">
        <v>14565</v>
      </c>
      <c r="G219" s="781"/>
      <c r="I219" s="292"/>
      <c r="K219" s="292"/>
    </row>
    <row r="220" spans="1:11" s="785" customFormat="1">
      <c r="A220" s="787" t="s">
        <v>814</v>
      </c>
      <c r="B220" s="787" t="s">
        <v>14788</v>
      </c>
      <c r="C220" s="292" t="s">
        <v>14789</v>
      </c>
      <c r="D220" s="293">
        <v>3937</v>
      </c>
      <c r="F220" s="787" t="s">
        <v>14565</v>
      </c>
      <c r="G220" s="781"/>
      <c r="I220" s="292"/>
      <c r="K220" s="292"/>
    </row>
    <row r="221" spans="1:11" s="785" customFormat="1">
      <c r="A221" s="787" t="s">
        <v>815</v>
      </c>
      <c r="B221" s="787" t="s">
        <v>14790</v>
      </c>
      <c r="C221" s="292" t="s">
        <v>14791</v>
      </c>
      <c r="D221" s="293">
        <v>5658</v>
      </c>
      <c r="F221" s="787" t="s">
        <v>14565</v>
      </c>
      <c r="G221" s="781"/>
      <c r="I221" s="292"/>
      <c r="K221" s="292"/>
    </row>
    <row r="222" spans="1:11" s="785" customFormat="1">
      <c r="A222" s="787" t="s">
        <v>816</v>
      </c>
      <c r="B222" s="787" t="s">
        <v>14792</v>
      </c>
      <c r="C222" s="292" t="s">
        <v>14793</v>
      </c>
      <c r="D222" s="295">
        <v>3644</v>
      </c>
      <c r="F222" s="787" t="s">
        <v>14585</v>
      </c>
      <c r="G222" s="783"/>
      <c r="I222" s="292"/>
      <c r="K222" s="292"/>
    </row>
    <row r="223" spans="1:11" s="785" customFormat="1">
      <c r="A223" s="787" t="s">
        <v>826</v>
      </c>
      <c r="B223" s="787" t="s">
        <v>14794</v>
      </c>
      <c r="C223" s="292" t="s">
        <v>14795</v>
      </c>
      <c r="D223" s="295">
        <v>4581</v>
      </c>
      <c r="F223" s="787" t="s">
        <v>14585</v>
      </c>
      <c r="G223" s="783"/>
      <c r="I223" s="292"/>
      <c r="K223" s="292"/>
    </row>
    <row r="224" spans="1:11" s="785" customFormat="1">
      <c r="A224" s="787" t="s">
        <v>827</v>
      </c>
      <c r="B224" s="787" t="s">
        <v>14796</v>
      </c>
      <c r="C224" s="292" t="s">
        <v>14797</v>
      </c>
      <c r="D224" s="293">
        <v>7695</v>
      </c>
      <c r="F224" s="787" t="s">
        <v>14565</v>
      </c>
      <c r="G224" s="781"/>
      <c r="I224" s="292"/>
      <c r="K224" s="292"/>
    </row>
    <row r="225" spans="1:11" s="785" customFormat="1">
      <c r="A225" s="787" t="s">
        <v>828</v>
      </c>
      <c r="B225" s="787" t="s">
        <v>14798</v>
      </c>
      <c r="C225" s="292" t="s">
        <v>14799</v>
      </c>
      <c r="D225" s="293">
        <v>5986</v>
      </c>
      <c r="F225" s="787" t="s">
        <v>14565</v>
      </c>
      <c r="G225" s="781"/>
      <c r="I225" s="292"/>
      <c r="K225" s="292"/>
    </row>
    <row r="226" spans="1:11" s="785" customFormat="1">
      <c r="A226" s="787" t="s">
        <v>829</v>
      </c>
      <c r="B226" s="787" t="s">
        <v>14800</v>
      </c>
      <c r="C226" s="292" t="s">
        <v>14801</v>
      </c>
      <c r="D226" s="293">
        <v>6612</v>
      </c>
      <c r="F226" s="787" t="s">
        <v>14565</v>
      </c>
      <c r="G226" s="781"/>
      <c r="I226" s="292"/>
      <c r="K226" s="292"/>
    </row>
    <row r="227" spans="1:11" s="785" customFormat="1">
      <c r="A227" s="787" t="s">
        <v>830</v>
      </c>
      <c r="B227" s="787" t="s">
        <v>14802</v>
      </c>
      <c r="C227" s="292" t="s">
        <v>14803</v>
      </c>
      <c r="D227" s="293">
        <v>6728</v>
      </c>
      <c r="F227" s="787" t="s">
        <v>14565</v>
      </c>
      <c r="G227" s="781"/>
      <c r="I227" s="292"/>
      <c r="K227" s="292"/>
    </row>
    <row r="228" spans="1:11" s="785" customFormat="1">
      <c r="A228" s="787" t="s">
        <v>831</v>
      </c>
      <c r="B228" s="787" t="s">
        <v>14804</v>
      </c>
      <c r="C228" s="292" t="s">
        <v>14805</v>
      </c>
      <c r="D228" s="293">
        <v>4284</v>
      </c>
      <c r="F228" s="787" t="s">
        <v>14565</v>
      </c>
      <c r="G228" s="781"/>
      <c r="I228" s="292"/>
      <c r="K228" s="292"/>
    </row>
    <row r="229" spans="1:11" s="785" customFormat="1">
      <c r="A229" s="787" t="s">
        <v>832</v>
      </c>
      <c r="B229" s="787" t="s">
        <v>14806</v>
      </c>
      <c r="C229" s="292" t="s">
        <v>14807</v>
      </c>
      <c r="D229" s="293">
        <v>5619</v>
      </c>
      <c r="F229" s="787" t="s">
        <v>14565</v>
      </c>
      <c r="G229" s="781"/>
      <c r="I229" s="292"/>
      <c r="K229" s="292"/>
    </row>
    <row r="230" spans="1:11" s="785" customFormat="1">
      <c r="A230" s="787" t="s">
        <v>833</v>
      </c>
      <c r="B230" s="787" t="s">
        <v>14808</v>
      </c>
      <c r="C230" s="292" t="s">
        <v>14809</v>
      </c>
      <c r="D230" s="293">
        <v>6174</v>
      </c>
      <c r="F230" s="787" t="s">
        <v>14565</v>
      </c>
      <c r="G230" s="781"/>
      <c r="I230" s="292"/>
      <c r="K230" s="292"/>
    </row>
    <row r="231" spans="1:11" s="785" customFormat="1">
      <c r="A231" s="787" t="s">
        <v>834</v>
      </c>
      <c r="B231" s="787" t="s">
        <v>14810</v>
      </c>
      <c r="C231" s="292" t="s">
        <v>14811</v>
      </c>
      <c r="D231" s="293">
        <v>4082</v>
      </c>
      <c r="F231" s="787" t="s">
        <v>14565</v>
      </c>
      <c r="G231" s="781"/>
      <c r="I231" s="292"/>
      <c r="K231" s="292"/>
    </row>
    <row r="232" spans="1:11" s="785" customFormat="1">
      <c r="A232" s="787" t="s">
        <v>835</v>
      </c>
      <c r="B232" s="787" t="s">
        <v>14812</v>
      </c>
      <c r="C232" s="292" t="s">
        <v>14813</v>
      </c>
      <c r="D232" s="295">
        <v>4021</v>
      </c>
      <c r="F232" s="787" t="s">
        <v>14585</v>
      </c>
      <c r="G232" s="783"/>
      <c r="I232" s="292"/>
      <c r="K232" s="292"/>
    </row>
    <row r="233" spans="1:11" s="785" customFormat="1">
      <c r="A233" s="787" t="s">
        <v>836</v>
      </c>
      <c r="B233" s="787" t="s">
        <v>14814</v>
      </c>
      <c r="C233" s="292" t="s">
        <v>14815</v>
      </c>
      <c r="D233" s="295">
        <v>4105</v>
      </c>
      <c r="F233" s="787" t="s">
        <v>14585</v>
      </c>
      <c r="G233" s="783"/>
      <c r="I233" s="292"/>
      <c r="K233" s="292"/>
    </row>
    <row r="234" spans="1:11" s="785" customFormat="1">
      <c r="A234" s="787" t="s">
        <v>837</v>
      </c>
      <c r="B234" s="787" t="s">
        <v>14816</v>
      </c>
      <c r="C234" s="292" t="s">
        <v>14817</v>
      </c>
      <c r="D234" s="293">
        <v>4095</v>
      </c>
      <c r="F234" s="787" t="s">
        <v>14565</v>
      </c>
      <c r="G234" s="781"/>
      <c r="I234" s="292"/>
      <c r="K234" s="292"/>
    </row>
    <row r="235" spans="1:11" s="785" customFormat="1">
      <c r="A235" s="795">
        <v>18</v>
      </c>
      <c r="B235" s="787" t="s">
        <v>14818</v>
      </c>
      <c r="C235" s="292" t="s">
        <v>14819</v>
      </c>
      <c r="D235" s="293">
        <v>4037</v>
      </c>
      <c r="F235" s="787" t="s">
        <v>14565</v>
      </c>
      <c r="G235" s="781"/>
      <c r="I235" s="292"/>
      <c r="K235" s="292"/>
    </row>
    <row r="236" spans="1:11" s="785" customFormat="1">
      <c r="A236" s="795">
        <v>19</v>
      </c>
      <c r="B236" s="787" t="s">
        <v>14820</v>
      </c>
      <c r="C236" s="292" t="s">
        <v>14821</v>
      </c>
      <c r="D236" s="293">
        <v>4443</v>
      </c>
      <c r="F236" s="787" t="s">
        <v>14565</v>
      </c>
      <c r="G236" s="781"/>
      <c r="I236" s="292"/>
      <c r="K236" s="292"/>
    </row>
    <row r="237" spans="1:11" s="785" customFormat="1">
      <c r="C237" s="786"/>
      <c r="D237" s="790"/>
    </row>
    <row r="238" spans="1:11" s="785" customFormat="1">
      <c r="A238" s="787" t="s">
        <v>14565</v>
      </c>
      <c r="C238" s="786"/>
      <c r="D238" s="788">
        <f t="shared" ref="D238" si="38">SUM(D218:D221)+SUM(D224:D231)+SUM(D234:D236)</f>
        <v>77814</v>
      </c>
    </row>
    <row r="239" spans="1:11" s="785" customFormat="1">
      <c r="A239" s="787" t="s">
        <v>14822</v>
      </c>
      <c r="C239" s="786"/>
      <c r="D239" s="788">
        <f>D222+D223+D232+D233</f>
        <v>16351</v>
      </c>
    </row>
    <row r="240" spans="1:11" s="785" customFormat="1">
      <c r="A240" s="787"/>
      <c r="C240" s="786"/>
      <c r="D240" s="788"/>
    </row>
    <row r="241" spans="1:11" s="785" customFormat="1">
      <c r="A241" s="787" t="s">
        <v>14823</v>
      </c>
      <c r="C241" s="786"/>
      <c r="D241" s="788"/>
    </row>
    <row r="242" spans="1:11" s="785" customFormat="1">
      <c r="A242" s="787"/>
      <c r="B242" s="787"/>
      <c r="C242" s="786"/>
      <c r="D242" s="797"/>
    </row>
    <row r="243" spans="1:11" s="785" customFormat="1">
      <c r="A243" s="787"/>
      <c r="B243" s="787"/>
      <c r="C243" s="786"/>
      <c r="D243" s="797"/>
    </row>
    <row r="244" spans="1:11" s="785" customFormat="1">
      <c r="C244" s="786"/>
      <c r="D244" s="10" t="s">
        <v>285</v>
      </c>
      <c r="E244" s="16"/>
      <c r="F244" s="5" t="s">
        <v>4116</v>
      </c>
    </row>
    <row r="245" spans="1:11" s="785" customFormat="1">
      <c r="C245" s="786"/>
      <c r="D245" s="15">
        <v>2016</v>
      </c>
      <c r="E245" s="16"/>
      <c r="F245" s="18" t="s">
        <v>286</v>
      </c>
    </row>
    <row r="246" spans="1:11" s="785" customFormat="1">
      <c r="A246" s="787" t="s">
        <v>14824</v>
      </c>
      <c r="C246" s="786"/>
      <c r="D246" s="788">
        <f t="shared" ref="D246" si="39">SUM(D247:D261)</f>
        <v>87138</v>
      </c>
    </row>
    <row r="247" spans="1:11" s="785" customFormat="1">
      <c r="A247" s="787" t="s">
        <v>812</v>
      </c>
      <c r="B247" s="787" t="s">
        <v>14825</v>
      </c>
      <c r="C247" s="292" t="s">
        <v>14826</v>
      </c>
      <c r="D247" s="293">
        <v>5755</v>
      </c>
      <c r="F247" s="787" t="s">
        <v>14567</v>
      </c>
      <c r="I247" s="292"/>
      <c r="K247" s="292"/>
    </row>
    <row r="248" spans="1:11" s="785" customFormat="1">
      <c r="A248" s="787" t="s">
        <v>813</v>
      </c>
      <c r="B248" s="787" t="s">
        <v>14827</v>
      </c>
      <c r="C248" s="292" t="s">
        <v>14828</v>
      </c>
      <c r="D248" s="293">
        <v>5421</v>
      </c>
      <c r="F248" s="787" t="s">
        <v>14567</v>
      </c>
      <c r="I248" s="292"/>
      <c r="K248" s="292"/>
    </row>
    <row r="249" spans="1:11" s="785" customFormat="1">
      <c r="A249" s="787" t="s">
        <v>814</v>
      </c>
      <c r="B249" s="787" t="s">
        <v>14829</v>
      </c>
      <c r="C249" s="292" t="s">
        <v>14830</v>
      </c>
      <c r="D249" s="293">
        <v>5371</v>
      </c>
      <c r="F249" s="787" t="s">
        <v>14567</v>
      </c>
      <c r="I249" s="292"/>
      <c r="K249" s="292"/>
    </row>
    <row r="250" spans="1:11" s="785" customFormat="1">
      <c r="A250" s="787" t="s">
        <v>815</v>
      </c>
      <c r="B250" s="787" t="s">
        <v>14831</v>
      </c>
      <c r="C250" s="292" t="s">
        <v>14832</v>
      </c>
      <c r="D250" s="293">
        <v>5210</v>
      </c>
      <c r="F250" s="787" t="s">
        <v>14567</v>
      </c>
      <c r="I250" s="292"/>
      <c r="K250" s="292"/>
    </row>
    <row r="251" spans="1:11" s="785" customFormat="1">
      <c r="A251" s="787" t="s">
        <v>816</v>
      </c>
      <c r="B251" s="787" t="s">
        <v>14833</v>
      </c>
      <c r="C251" s="292" t="s">
        <v>14834</v>
      </c>
      <c r="D251" s="293">
        <v>5295</v>
      </c>
      <c r="F251" s="787" t="s">
        <v>14567</v>
      </c>
      <c r="I251" s="292"/>
      <c r="K251" s="292"/>
    </row>
    <row r="252" spans="1:11" s="785" customFormat="1">
      <c r="A252" s="787" t="s">
        <v>826</v>
      </c>
      <c r="B252" s="787" t="s">
        <v>14835</v>
      </c>
      <c r="C252" s="292" t="s">
        <v>14836</v>
      </c>
      <c r="D252" s="293">
        <v>5923</v>
      </c>
      <c r="F252" s="787" t="s">
        <v>14570</v>
      </c>
      <c r="I252" s="292"/>
      <c r="K252" s="292"/>
    </row>
    <row r="253" spans="1:11" s="785" customFormat="1">
      <c r="A253" s="787" t="s">
        <v>827</v>
      </c>
      <c r="B253" s="787" t="s">
        <v>14837</v>
      </c>
      <c r="C253" s="292" t="s">
        <v>14838</v>
      </c>
      <c r="D253" s="293">
        <v>5548</v>
      </c>
      <c r="F253" s="787" t="s">
        <v>14567</v>
      </c>
      <c r="I253" s="292"/>
      <c r="K253" s="292"/>
    </row>
    <row r="254" spans="1:11" s="785" customFormat="1">
      <c r="A254" s="787" t="s">
        <v>828</v>
      </c>
      <c r="B254" s="787" t="s">
        <v>14839</v>
      </c>
      <c r="C254" s="292" t="s">
        <v>14840</v>
      </c>
      <c r="D254" s="293">
        <v>6185</v>
      </c>
      <c r="F254" s="787" t="s">
        <v>14567</v>
      </c>
      <c r="I254" s="292"/>
      <c r="K254" s="292"/>
    </row>
    <row r="255" spans="1:11" s="785" customFormat="1">
      <c r="A255" s="787" t="s">
        <v>829</v>
      </c>
      <c r="B255" s="787" t="s">
        <v>14841</v>
      </c>
      <c r="C255" s="292" t="s">
        <v>14842</v>
      </c>
      <c r="D255" s="293">
        <v>8621</v>
      </c>
      <c r="F255" s="787" t="s">
        <v>14567</v>
      </c>
      <c r="I255" s="292"/>
      <c r="K255" s="292"/>
    </row>
    <row r="256" spans="1:11" s="785" customFormat="1">
      <c r="A256" s="787" t="s">
        <v>830</v>
      </c>
      <c r="B256" s="787" t="s">
        <v>14843</v>
      </c>
      <c r="C256" s="292" t="s">
        <v>14844</v>
      </c>
      <c r="D256" s="293">
        <v>5612</v>
      </c>
      <c r="F256" s="787" t="s">
        <v>14567</v>
      </c>
      <c r="I256" s="292"/>
      <c r="K256" s="292"/>
    </row>
    <row r="257" spans="1:11" s="785" customFormat="1">
      <c r="A257" s="787" t="s">
        <v>831</v>
      </c>
      <c r="B257" s="787" t="s">
        <v>14845</v>
      </c>
      <c r="C257" s="292" t="s">
        <v>14846</v>
      </c>
      <c r="D257" s="293">
        <v>5719</v>
      </c>
      <c r="F257" s="787" t="s">
        <v>14567</v>
      </c>
      <c r="I257" s="292"/>
      <c r="K257" s="292"/>
    </row>
    <row r="258" spans="1:11" s="785" customFormat="1">
      <c r="A258" s="787" t="s">
        <v>832</v>
      </c>
      <c r="B258" s="787" t="s">
        <v>14847</v>
      </c>
      <c r="C258" s="292" t="s">
        <v>14848</v>
      </c>
      <c r="D258" s="293">
        <v>5491</v>
      </c>
      <c r="F258" s="787" t="s">
        <v>14570</v>
      </c>
      <c r="I258" s="292"/>
      <c r="K258" s="292"/>
    </row>
    <row r="259" spans="1:11" s="785" customFormat="1">
      <c r="A259" s="787" t="s">
        <v>833</v>
      </c>
      <c r="B259" s="787" t="s">
        <v>14849</v>
      </c>
      <c r="C259" s="292" t="s">
        <v>14850</v>
      </c>
      <c r="D259" s="293">
        <v>5686</v>
      </c>
      <c r="F259" s="787" t="s">
        <v>14567</v>
      </c>
      <c r="I259" s="292"/>
      <c r="K259" s="292"/>
    </row>
    <row r="260" spans="1:11" s="785" customFormat="1">
      <c r="A260" s="795">
        <v>14</v>
      </c>
      <c r="B260" s="787" t="s">
        <v>14851</v>
      </c>
      <c r="C260" s="292" t="s">
        <v>14852</v>
      </c>
      <c r="D260" s="293">
        <v>5920</v>
      </c>
      <c r="F260" s="787" t="s">
        <v>14567</v>
      </c>
      <c r="I260" s="292"/>
      <c r="K260" s="292"/>
    </row>
    <row r="261" spans="1:11" s="785" customFormat="1">
      <c r="A261" s="795">
        <v>15</v>
      </c>
      <c r="B261" s="787" t="s">
        <v>14853</v>
      </c>
      <c r="C261" s="292" t="s">
        <v>14854</v>
      </c>
      <c r="D261" s="293">
        <v>5381</v>
      </c>
      <c r="F261" s="787" t="s">
        <v>14567</v>
      </c>
      <c r="I261" s="292"/>
      <c r="K261" s="292"/>
    </row>
    <row r="262" spans="1:11" s="785" customFormat="1">
      <c r="C262" s="786"/>
      <c r="D262" s="790"/>
    </row>
    <row r="263" spans="1:11" s="785" customFormat="1">
      <c r="A263" s="787" t="s">
        <v>14855</v>
      </c>
      <c r="C263" s="786"/>
      <c r="D263" s="788">
        <f t="shared" ref="D263" si="40">SUM(D247:D251)+SUM(D253:D257)+SUM(D259:D261)</f>
        <v>75724</v>
      </c>
    </row>
    <row r="264" spans="1:11" s="785" customFormat="1">
      <c r="A264" s="787" t="s">
        <v>14856</v>
      </c>
      <c r="C264" s="786"/>
      <c r="D264" s="788">
        <f t="shared" ref="D264" si="41">D252+D258</f>
        <v>11414</v>
      </c>
    </row>
    <row r="265" spans="1:11" s="785" customFormat="1">
      <c r="A265" s="787"/>
      <c r="C265" s="786"/>
      <c r="D265" s="788"/>
    </row>
    <row r="266" spans="1:11" s="785" customFormat="1">
      <c r="A266" s="787" t="s">
        <v>14857</v>
      </c>
      <c r="C266" s="786"/>
      <c r="D266" s="788"/>
    </row>
    <row r="267" spans="1:11" s="785" customFormat="1">
      <c r="A267" s="787"/>
      <c r="B267" s="787"/>
      <c r="C267" s="786"/>
      <c r="D267" s="797"/>
    </row>
    <row r="268" spans="1:11" s="785" customFormat="1">
      <c r="A268" s="787"/>
      <c r="B268" s="787"/>
      <c r="C268" s="786"/>
      <c r="D268" s="797"/>
    </row>
    <row r="269" spans="1:11" s="785" customFormat="1">
      <c r="C269" s="786"/>
      <c r="D269" s="10" t="s">
        <v>285</v>
      </c>
      <c r="E269" s="16"/>
      <c r="F269" s="5" t="s">
        <v>4116</v>
      </c>
    </row>
    <row r="270" spans="1:11" s="785" customFormat="1">
      <c r="C270" s="786"/>
      <c r="D270" s="15">
        <v>2016</v>
      </c>
      <c r="E270" s="16"/>
      <c r="F270" s="18" t="s">
        <v>286</v>
      </c>
    </row>
    <row r="271" spans="1:11" s="785" customFormat="1">
      <c r="A271" s="787" t="s">
        <v>14858</v>
      </c>
      <c r="C271" s="786"/>
      <c r="D271" s="788">
        <f t="shared" ref="D271" si="42">SUM(D272:D288)</f>
        <v>60943</v>
      </c>
    </row>
    <row r="272" spans="1:11" s="785" customFormat="1">
      <c r="A272" s="787" t="s">
        <v>812</v>
      </c>
      <c r="B272" s="787" t="s">
        <v>14859</v>
      </c>
      <c r="C272" s="292" t="s">
        <v>14860</v>
      </c>
      <c r="D272" s="293">
        <v>3510</v>
      </c>
      <c r="F272" s="787" t="s">
        <v>14570</v>
      </c>
      <c r="G272" s="781"/>
      <c r="I272" s="292"/>
      <c r="K272" s="292"/>
    </row>
    <row r="273" spans="1:11" s="785" customFormat="1">
      <c r="A273" s="787" t="s">
        <v>813</v>
      </c>
      <c r="B273" s="787" t="s">
        <v>2835</v>
      </c>
      <c r="C273" s="292" t="s">
        <v>14861</v>
      </c>
      <c r="D273" s="293">
        <v>3007</v>
      </c>
      <c r="F273" s="787" t="s">
        <v>14570</v>
      </c>
      <c r="G273" s="781"/>
      <c r="I273" s="292"/>
      <c r="K273" s="292"/>
    </row>
    <row r="274" spans="1:11" s="785" customFormat="1">
      <c r="A274" s="787" t="s">
        <v>814</v>
      </c>
      <c r="B274" s="787" t="s">
        <v>14862</v>
      </c>
      <c r="C274" s="292" t="s">
        <v>14863</v>
      </c>
      <c r="D274" s="293">
        <v>3440</v>
      </c>
      <c r="F274" s="787" t="s">
        <v>14570</v>
      </c>
      <c r="G274" s="781"/>
      <c r="I274" s="292"/>
      <c r="K274" s="292"/>
    </row>
    <row r="275" spans="1:11" s="785" customFormat="1">
      <c r="A275" s="787" t="s">
        <v>815</v>
      </c>
      <c r="B275" s="787" t="s">
        <v>14864</v>
      </c>
      <c r="C275" s="292" t="s">
        <v>14865</v>
      </c>
      <c r="D275" s="293">
        <v>3486</v>
      </c>
      <c r="F275" s="787" t="s">
        <v>14570</v>
      </c>
      <c r="G275" s="781"/>
      <c r="I275" s="292"/>
      <c r="K275" s="292"/>
    </row>
    <row r="276" spans="1:11" s="785" customFormat="1">
      <c r="A276" s="787" t="s">
        <v>816</v>
      </c>
      <c r="B276" s="787" t="s">
        <v>14866</v>
      </c>
      <c r="C276" s="292" t="s">
        <v>14867</v>
      </c>
      <c r="D276" s="293">
        <v>3716</v>
      </c>
      <c r="F276" s="787" t="s">
        <v>14570</v>
      </c>
      <c r="G276" s="781"/>
      <c r="I276" s="292"/>
      <c r="K276" s="292"/>
    </row>
    <row r="277" spans="1:11" s="785" customFormat="1">
      <c r="A277" s="787" t="s">
        <v>826</v>
      </c>
      <c r="B277" s="787" t="s">
        <v>617</v>
      </c>
      <c r="C277" s="292" t="s">
        <v>14868</v>
      </c>
      <c r="D277" s="293">
        <v>3707</v>
      </c>
      <c r="F277" s="787" t="s">
        <v>14570</v>
      </c>
      <c r="G277" s="781"/>
      <c r="I277" s="292"/>
      <c r="K277" s="292"/>
    </row>
    <row r="278" spans="1:11" s="785" customFormat="1">
      <c r="A278" s="787" t="s">
        <v>827</v>
      </c>
      <c r="B278" s="787" t="s">
        <v>14869</v>
      </c>
      <c r="C278" s="292" t="s">
        <v>14870</v>
      </c>
      <c r="D278" s="293">
        <v>3428</v>
      </c>
      <c r="F278" s="787" t="s">
        <v>14570</v>
      </c>
      <c r="G278" s="781"/>
      <c r="I278" s="292"/>
      <c r="K278" s="292"/>
    </row>
    <row r="279" spans="1:11" s="785" customFormat="1">
      <c r="A279" s="787" t="s">
        <v>828</v>
      </c>
      <c r="B279" s="787" t="s">
        <v>14871</v>
      </c>
      <c r="C279" s="292" t="s">
        <v>14872</v>
      </c>
      <c r="D279" s="293">
        <v>3307</v>
      </c>
      <c r="F279" s="787" t="s">
        <v>14570</v>
      </c>
      <c r="G279" s="781"/>
      <c r="I279" s="292"/>
      <c r="K279" s="292"/>
    </row>
    <row r="280" spans="1:11" s="785" customFormat="1">
      <c r="A280" s="787" t="s">
        <v>829</v>
      </c>
      <c r="B280" s="787" t="s">
        <v>1009</v>
      </c>
      <c r="C280" s="292" t="s">
        <v>14873</v>
      </c>
      <c r="D280" s="293">
        <v>3551</v>
      </c>
      <c r="F280" s="787" t="s">
        <v>14570</v>
      </c>
      <c r="G280" s="781"/>
      <c r="I280" s="292"/>
      <c r="K280" s="292"/>
    </row>
    <row r="281" spans="1:11" s="785" customFormat="1">
      <c r="A281" s="787" t="s">
        <v>830</v>
      </c>
      <c r="B281" s="787" t="s">
        <v>14874</v>
      </c>
      <c r="C281" s="292" t="s">
        <v>14875</v>
      </c>
      <c r="D281" s="293">
        <v>4187</v>
      </c>
      <c r="F281" s="787" t="s">
        <v>14570</v>
      </c>
      <c r="G281" s="781"/>
      <c r="I281" s="292"/>
      <c r="K281" s="292"/>
    </row>
    <row r="282" spans="1:11" s="785" customFormat="1">
      <c r="A282" s="795">
        <v>11</v>
      </c>
      <c r="B282" s="787" t="s">
        <v>14876</v>
      </c>
      <c r="C282" s="292" t="s">
        <v>14877</v>
      </c>
      <c r="D282" s="293">
        <v>4518</v>
      </c>
      <c r="F282" s="787" t="s">
        <v>14570</v>
      </c>
      <c r="G282" s="781"/>
      <c r="I282" s="292"/>
      <c r="K282" s="292"/>
    </row>
    <row r="283" spans="1:11" s="785" customFormat="1">
      <c r="A283" s="795">
        <v>12</v>
      </c>
      <c r="B283" s="787" t="s">
        <v>14878</v>
      </c>
      <c r="C283" s="292" t="s">
        <v>14879</v>
      </c>
      <c r="D283" s="293">
        <v>3980</v>
      </c>
      <c r="F283" s="787" t="s">
        <v>14570</v>
      </c>
      <c r="G283" s="781"/>
      <c r="I283" s="292"/>
      <c r="K283" s="292"/>
    </row>
    <row r="284" spans="1:11" s="785" customFormat="1">
      <c r="A284" s="795">
        <v>13</v>
      </c>
      <c r="B284" s="787" t="s">
        <v>14880</v>
      </c>
      <c r="C284" s="292" t="s">
        <v>14881</v>
      </c>
      <c r="D284" s="293">
        <v>3492</v>
      </c>
      <c r="F284" s="787" t="s">
        <v>14570</v>
      </c>
      <c r="G284" s="781"/>
      <c r="I284" s="292"/>
      <c r="K284" s="292"/>
    </row>
    <row r="285" spans="1:11" s="785" customFormat="1">
      <c r="A285" s="795">
        <v>14</v>
      </c>
      <c r="B285" s="787" t="s">
        <v>14882</v>
      </c>
      <c r="C285" s="292" t="s">
        <v>14883</v>
      </c>
      <c r="D285" s="293">
        <v>3355</v>
      </c>
      <c r="F285" s="787" t="s">
        <v>14570</v>
      </c>
      <c r="G285" s="781"/>
      <c r="I285" s="292"/>
      <c r="K285" s="292"/>
    </row>
    <row r="286" spans="1:11" s="785" customFormat="1">
      <c r="A286" s="795">
        <v>15</v>
      </c>
      <c r="B286" s="787" t="s">
        <v>14884</v>
      </c>
      <c r="C286" s="292" t="s">
        <v>14885</v>
      </c>
      <c r="D286" s="293">
        <v>3324</v>
      </c>
      <c r="F286" s="787" t="s">
        <v>14570</v>
      </c>
      <c r="G286" s="781"/>
      <c r="I286" s="292"/>
      <c r="K286" s="292"/>
    </row>
    <row r="287" spans="1:11" s="785" customFormat="1">
      <c r="A287" s="795">
        <v>16</v>
      </c>
      <c r="B287" s="787" t="s">
        <v>14886</v>
      </c>
      <c r="C287" s="292" t="s">
        <v>14887</v>
      </c>
      <c r="D287" s="295">
        <v>3264</v>
      </c>
      <c r="F287" s="787" t="s">
        <v>14570</v>
      </c>
      <c r="G287" s="783"/>
      <c r="I287" s="292"/>
      <c r="K287" s="292"/>
    </row>
    <row r="288" spans="1:11" s="785" customFormat="1">
      <c r="A288" s="795">
        <v>17</v>
      </c>
      <c r="B288" s="787" t="s">
        <v>2865</v>
      </c>
      <c r="C288" s="292" t="s">
        <v>14888</v>
      </c>
      <c r="D288" s="295">
        <v>3671</v>
      </c>
      <c r="F288" s="787" t="s">
        <v>14570</v>
      </c>
      <c r="G288" s="783"/>
      <c r="I288" s="292"/>
      <c r="K288" s="292"/>
    </row>
    <row r="289" spans="1:11" s="785" customFormat="1">
      <c r="C289" s="786"/>
      <c r="D289" s="790"/>
    </row>
    <row r="290" spans="1:11" s="785" customFormat="1">
      <c r="A290" s="787" t="s">
        <v>14856</v>
      </c>
      <c r="C290" s="786"/>
      <c r="D290" s="788">
        <f t="shared" ref="D290" si="43">SUM(D272:D288)</f>
        <v>60943</v>
      </c>
    </row>
    <row r="291" spans="1:11" s="785" customFormat="1">
      <c r="A291" s="787"/>
      <c r="C291" s="786"/>
      <c r="D291" s="788"/>
    </row>
    <row r="292" spans="1:11" s="785" customFormat="1">
      <c r="A292" s="787" t="s">
        <v>14889</v>
      </c>
      <c r="C292" s="786"/>
      <c r="D292" s="788"/>
    </row>
    <row r="293" spans="1:11" s="785" customFormat="1">
      <c r="A293" s="787"/>
      <c r="B293" s="787"/>
      <c r="C293" s="786"/>
      <c r="D293" s="797"/>
    </row>
    <row r="294" spans="1:11" s="785" customFormat="1">
      <c r="A294" s="787"/>
      <c r="B294" s="787"/>
      <c r="C294" s="786"/>
      <c r="D294" s="797"/>
    </row>
    <row r="295" spans="1:11" s="785" customFormat="1">
      <c r="C295" s="786"/>
      <c r="D295" s="10" t="s">
        <v>285</v>
      </c>
      <c r="E295" s="16"/>
      <c r="F295" s="5" t="s">
        <v>4116</v>
      </c>
    </row>
    <row r="296" spans="1:11" s="785" customFormat="1">
      <c r="C296" s="786"/>
      <c r="D296" s="15">
        <v>2016</v>
      </c>
      <c r="E296" s="16"/>
      <c r="F296" s="18" t="s">
        <v>286</v>
      </c>
    </row>
    <row r="297" spans="1:11" s="785" customFormat="1">
      <c r="A297" s="787" t="s">
        <v>14890</v>
      </c>
      <c r="C297" s="786"/>
      <c r="D297" s="788">
        <f>SUM(D298:D308)</f>
        <v>67763</v>
      </c>
    </row>
    <row r="298" spans="1:11" s="785" customFormat="1">
      <c r="A298" s="795">
        <v>1</v>
      </c>
      <c r="B298" s="787" t="s">
        <v>14891</v>
      </c>
      <c r="C298" s="306" t="s">
        <v>14892</v>
      </c>
      <c r="D298" s="293">
        <v>5460</v>
      </c>
      <c r="F298" s="787" t="s">
        <v>14577</v>
      </c>
      <c r="H298" s="306"/>
      <c r="I298" s="292"/>
      <c r="K298" s="292"/>
    </row>
    <row r="299" spans="1:11" s="785" customFormat="1">
      <c r="A299" s="795">
        <v>2</v>
      </c>
      <c r="B299" s="787" t="s">
        <v>14893</v>
      </c>
      <c r="C299" s="306" t="s">
        <v>14894</v>
      </c>
      <c r="D299" s="293">
        <v>5834</v>
      </c>
      <c r="F299" s="787" t="s">
        <v>14559</v>
      </c>
      <c r="H299" s="306"/>
      <c r="I299" s="292"/>
      <c r="K299" s="292"/>
    </row>
    <row r="300" spans="1:11" s="785" customFormat="1">
      <c r="A300" s="795">
        <v>3</v>
      </c>
      <c r="B300" s="787" t="s">
        <v>14895</v>
      </c>
      <c r="C300" s="306" t="s">
        <v>14896</v>
      </c>
      <c r="D300" s="293">
        <v>6394</v>
      </c>
      <c r="F300" s="787" t="s">
        <v>14559</v>
      </c>
      <c r="H300" s="306"/>
      <c r="I300" s="292"/>
      <c r="K300" s="292"/>
    </row>
    <row r="301" spans="1:11" s="785" customFormat="1">
      <c r="A301" s="795">
        <v>4</v>
      </c>
      <c r="B301" s="787" t="s">
        <v>14897</v>
      </c>
      <c r="C301" s="306" t="s">
        <v>14898</v>
      </c>
      <c r="D301" s="293">
        <v>6374</v>
      </c>
      <c r="F301" s="787" t="s">
        <v>14577</v>
      </c>
      <c r="H301" s="306"/>
      <c r="I301" s="292"/>
      <c r="K301" s="292"/>
    </row>
    <row r="302" spans="1:11" s="785" customFormat="1">
      <c r="A302" s="795">
        <v>5</v>
      </c>
      <c r="B302" s="787" t="s">
        <v>14899</v>
      </c>
      <c r="C302" s="306" t="s">
        <v>14900</v>
      </c>
      <c r="D302" s="293">
        <v>5670</v>
      </c>
      <c r="F302" s="787" t="s">
        <v>14577</v>
      </c>
      <c r="H302" s="306"/>
      <c r="I302" s="292"/>
      <c r="K302" s="292"/>
    </row>
    <row r="303" spans="1:11" s="785" customFormat="1">
      <c r="A303" s="795">
        <v>6</v>
      </c>
      <c r="B303" s="787" t="s">
        <v>14901</v>
      </c>
      <c r="C303" s="306" t="s">
        <v>14902</v>
      </c>
      <c r="D303" s="293">
        <v>5820</v>
      </c>
      <c r="F303" s="787" t="s">
        <v>14577</v>
      </c>
      <c r="H303" s="306"/>
      <c r="I303" s="292"/>
      <c r="K303" s="292"/>
    </row>
    <row r="304" spans="1:11" s="785" customFormat="1">
      <c r="A304" s="795">
        <v>7</v>
      </c>
      <c r="B304" s="787" t="s">
        <v>14903</v>
      </c>
      <c r="C304" s="306" t="s">
        <v>14904</v>
      </c>
      <c r="D304" s="293">
        <v>6713</v>
      </c>
      <c r="F304" s="787" t="s">
        <v>14577</v>
      </c>
      <c r="H304" s="306"/>
      <c r="I304" s="292"/>
      <c r="K304" s="292"/>
    </row>
    <row r="305" spans="1:11" s="785" customFormat="1">
      <c r="A305" s="795">
        <v>8</v>
      </c>
      <c r="B305" s="787" t="s">
        <v>14905</v>
      </c>
      <c r="C305" s="306" t="s">
        <v>14906</v>
      </c>
      <c r="D305" s="293">
        <v>6123</v>
      </c>
      <c r="F305" s="787" t="s">
        <v>14577</v>
      </c>
      <c r="H305" s="306"/>
      <c r="I305" s="292"/>
      <c r="K305" s="292"/>
    </row>
    <row r="306" spans="1:11" s="785" customFormat="1">
      <c r="A306" s="795">
        <v>9</v>
      </c>
      <c r="B306" s="787" t="s">
        <v>14907</v>
      </c>
      <c r="C306" s="306" t="s">
        <v>14908</v>
      </c>
      <c r="D306" s="293">
        <v>6302</v>
      </c>
      <c r="F306" s="787" t="s">
        <v>14577</v>
      </c>
      <c r="H306" s="306"/>
      <c r="I306" s="292"/>
      <c r="K306" s="292"/>
    </row>
    <row r="307" spans="1:11" s="785" customFormat="1">
      <c r="A307" s="795">
        <v>10</v>
      </c>
      <c r="B307" s="787" t="s">
        <v>14909</v>
      </c>
      <c r="C307" s="306" t="s">
        <v>14910</v>
      </c>
      <c r="D307" s="293">
        <v>6591</v>
      </c>
      <c r="F307" s="787" t="s">
        <v>14577</v>
      </c>
      <c r="H307" s="306"/>
      <c r="I307" s="292"/>
      <c r="K307" s="292"/>
    </row>
    <row r="308" spans="1:11" s="785" customFormat="1">
      <c r="A308" s="795">
        <v>11</v>
      </c>
      <c r="B308" s="787" t="s">
        <v>14911</v>
      </c>
      <c r="C308" s="306" t="s">
        <v>14912</v>
      </c>
      <c r="D308" s="293">
        <v>6482</v>
      </c>
      <c r="F308" s="787" t="s">
        <v>14577</v>
      </c>
      <c r="I308" s="292"/>
      <c r="K308" s="292"/>
    </row>
    <row r="309" spans="1:11" s="785" customFormat="1">
      <c r="C309" s="786"/>
      <c r="D309" s="790"/>
      <c r="I309" s="292"/>
      <c r="K309" s="292"/>
    </row>
    <row r="310" spans="1:11" s="785" customFormat="1">
      <c r="A310" s="787" t="s">
        <v>14913</v>
      </c>
      <c r="C310" s="786"/>
      <c r="D310" s="788">
        <f>D299+D300</f>
        <v>12228</v>
      </c>
      <c r="I310" s="292"/>
      <c r="K310" s="292"/>
    </row>
    <row r="311" spans="1:11" s="785" customFormat="1">
      <c r="A311" s="787" t="s">
        <v>14702</v>
      </c>
      <c r="C311" s="786"/>
      <c r="D311" s="788">
        <f>D298+SUM(D301:D308)</f>
        <v>55535</v>
      </c>
      <c r="I311" s="292"/>
      <c r="K311" s="292"/>
    </row>
    <row r="312" spans="1:11" s="785" customFormat="1">
      <c r="A312" s="787"/>
      <c r="C312" s="786"/>
      <c r="D312" s="788"/>
      <c r="F312" s="787"/>
      <c r="I312" s="292"/>
      <c r="K312" s="292"/>
    </row>
    <row r="313" spans="1:11" s="785" customFormat="1">
      <c r="A313" s="787" t="s">
        <v>14914</v>
      </c>
      <c r="C313" s="786"/>
      <c r="D313" s="788"/>
      <c r="F313" s="787"/>
      <c r="I313" s="292"/>
      <c r="K313" s="292"/>
    </row>
    <row r="314" spans="1:11" s="785" customFormat="1">
      <c r="C314" s="786"/>
      <c r="D314" s="790"/>
    </row>
    <row r="315" spans="1:11" s="785" customFormat="1">
      <c r="A315" s="787"/>
      <c r="B315" s="787"/>
      <c r="C315" s="786"/>
      <c r="D315" s="797"/>
    </row>
    <row r="316" spans="1:11" s="785" customFormat="1">
      <c r="C316" s="786"/>
      <c r="D316" s="10" t="s">
        <v>285</v>
      </c>
      <c r="E316" s="16"/>
      <c r="F316" s="5" t="s">
        <v>4116</v>
      </c>
    </row>
    <row r="317" spans="1:11" s="785" customFormat="1">
      <c r="C317" s="786"/>
      <c r="D317" s="15">
        <v>2016</v>
      </c>
      <c r="E317" s="16"/>
      <c r="F317" s="18" t="s">
        <v>286</v>
      </c>
    </row>
    <row r="318" spans="1:11" s="785" customFormat="1">
      <c r="A318" s="787" t="s">
        <v>14915</v>
      </c>
      <c r="C318" s="786"/>
      <c r="D318" s="788">
        <f t="shared" ref="D318" si="44">SUM(D319:D332)</f>
        <v>92313</v>
      </c>
    </row>
    <row r="319" spans="1:11" s="785" customFormat="1">
      <c r="A319" s="795">
        <v>1</v>
      </c>
      <c r="B319" s="787" t="s">
        <v>14916</v>
      </c>
      <c r="C319" s="292" t="s">
        <v>14917</v>
      </c>
      <c r="D319" s="293">
        <v>4438</v>
      </c>
      <c r="F319" s="787" t="s">
        <v>14571</v>
      </c>
      <c r="I319" s="292"/>
      <c r="K319" s="292"/>
    </row>
    <row r="320" spans="1:11" s="785" customFormat="1">
      <c r="A320" s="795">
        <v>2</v>
      </c>
      <c r="B320" s="787" t="s">
        <v>14918</v>
      </c>
      <c r="C320" s="292" t="s">
        <v>14919</v>
      </c>
      <c r="D320" s="293">
        <v>4679</v>
      </c>
      <c r="F320" s="787" t="s">
        <v>14571</v>
      </c>
      <c r="I320" s="292"/>
      <c r="K320" s="292"/>
    </row>
    <row r="321" spans="1:11" s="785" customFormat="1">
      <c r="A321" s="795">
        <v>3</v>
      </c>
      <c r="B321" s="787" t="s">
        <v>14920</v>
      </c>
      <c r="C321" s="292" t="s">
        <v>14921</v>
      </c>
      <c r="D321" s="293">
        <v>7091</v>
      </c>
      <c r="F321" s="787" t="s">
        <v>14571</v>
      </c>
      <c r="I321" s="292"/>
      <c r="K321" s="292"/>
    </row>
    <row r="322" spans="1:11" s="785" customFormat="1">
      <c r="A322" s="795">
        <v>4</v>
      </c>
      <c r="B322" s="787" t="s">
        <v>14922</v>
      </c>
      <c r="C322" s="292" t="s">
        <v>14923</v>
      </c>
      <c r="D322" s="293">
        <v>4844</v>
      </c>
      <c r="F322" s="787" t="s">
        <v>14571</v>
      </c>
      <c r="I322" s="292"/>
      <c r="K322" s="292"/>
    </row>
    <row r="323" spans="1:11" s="785" customFormat="1">
      <c r="A323" s="795">
        <v>5</v>
      </c>
      <c r="B323" s="787" t="s">
        <v>14924</v>
      </c>
      <c r="C323" s="292" t="s">
        <v>14925</v>
      </c>
      <c r="D323" s="293">
        <v>7272</v>
      </c>
      <c r="F323" s="787" t="s">
        <v>14571</v>
      </c>
      <c r="I323" s="292"/>
      <c r="K323" s="292"/>
    </row>
    <row r="324" spans="1:11" s="785" customFormat="1">
      <c r="A324" s="795">
        <v>6</v>
      </c>
      <c r="B324" s="787" t="s">
        <v>14926</v>
      </c>
      <c r="C324" s="292" t="s">
        <v>14927</v>
      </c>
      <c r="D324" s="293">
        <v>8093</v>
      </c>
      <c r="F324" s="787" t="s">
        <v>14571</v>
      </c>
      <c r="I324" s="292"/>
      <c r="K324" s="292"/>
    </row>
    <row r="325" spans="1:11" s="785" customFormat="1">
      <c r="A325" s="795">
        <v>7</v>
      </c>
      <c r="B325" s="787" t="s">
        <v>14928</v>
      </c>
      <c r="C325" s="292" t="s">
        <v>14929</v>
      </c>
      <c r="D325" s="293">
        <v>7402</v>
      </c>
      <c r="F325" s="787" t="s">
        <v>14571</v>
      </c>
      <c r="I325" s="292"/>
      <c r="K325" s="292"/>
    </row>
    <row r="326" spans="1:11" s="785" customFormat="1">
      <c r="A326" s="795">
        <v>8</v>
      </c>
      <c r="B326" s="787" t="s">
        <v>14930</v>
      </c>
      <c r="C326" s="292" t="s">
        <v>14931</v>
      </c>
      <c r="D326" s="293">
        <v>7118</v>
      </c>
      <c r="F326" s="787" t="s">
        <v>14571</v>
      </c>
      <c r="I326" s="292"/>
      <c r="K326" s="292"/>
    </row>
    <row r="327" spans="1:11" s="785" customFormat="1">
      <c r="A327" s="795">
        <v>9</v>
      </c>
      <c r="B327" s="787" t="s">
        <v>14932</v>
      </c>
      <c r="C327" s="292" t="s">
        <v>14933</v>
      </c>
      <c r="D327" s="293">
        <v>6799</v>
      </c>
      <c r="F327" s="787" t="s">
        <v>14571</v>
      </c>
      <c r="I327" s="292"/>
      <c r="K327" s="292"/>
    </row>
    <row r="328" spans="1:11" s="785" customFormat="1">
      <c r="A328" s="795">
        <v>10</v>
      </c>
      <c r="B328" s="787" t="s">
        <v>14934</v>
      </c>
      <c r="C328" s="292" t="s">
        <v>14935</v>
      </c>
      <c r="D328" s="293">
        <v>7340</v>
      </c>
      <c r="F328" s="787" t="s">
        <v>14579</v>
      </c>
      <c r="I328" s="292"/>
      <c r="K328" s="292"/>
    </row>
    <row r="329" spans="1:11" s="785" customFormat="1">
      <c r="A329" s="795">
        <v>11</v>
      </c>
      <c r="B329" s="787" t="s">
        <v>14936</v>
      </c>
      <c r="C329" s="292" t="s">
        <v>14937</v>
      </c>
      <c r="D329" s="293">
        <v>7231</v>
      </c>
      <c r="F329" s="787" t="s">
        <v>14571</v>
      </c>
      <c r="I329" s="292"/>
      <c r="K329" s="292"/>
    </row>
    <row r="330" spans="1:11" s="785" customFormat="1">
      <c r="A330" s="795">
        <v>12</v>
      </c>
      <c r="B330" s="787" t="s">
        <v>14938</v>
      </c>
      <c r="C330" s="292" t="s">
        <v>14939</v>
      </c>
      <c r="D330" s="293">
        <v>7234</v>
      </c>
      <c r="F330" s="787" t="s">
        <v>14579</v>
      </c>
      <c r="I330" s="292"/>
      <c r="K330" s="292"/>
    </row>
    <row r="331" spans="1:11" s="785" customFormat="1">
      <c r="A331" s="795">
        <v>13</v>
      </c>
      <c r="B331" s="787" t="s">
        <v>14940</v>
      </c>
      <c r="C331" s="292" t="s">
        <v>14941</v>
      </c>
      <c r="D331" s="293">
        <v>4845</v>
      </c>
      <c r="F331" s="787" t="s">
        <v>14571</v>
      </c>
      <c r="I331" s="292"/>
      <c r="K331" s="292"/>
    </row>
    <row r="332" spans="1:11" s="785" customFormat="1">
      <c r="A332" s="795">
        <v>14</v>
      </c>
      <c r="B332" s="787" t="s">
        <v>12940</v>
      </c>
      <c r="C332" s="292" t="s">
        <v>14942</v>
      </c>
      <c r="D332" s="293">
        <v>7927</v>
      </c>
      <c r="F332" s="787" t="s">
        <v>14571</v>
      </c>
      <c r="I332" s="292"/>
      <c r="K332" s="292"/>
    </row>
    <row r="333" spans="1:11" s="785" customFormat="1">
      <c r="C333" s="786"/>
      <c r="D333" s="798"/>
    </row>
    <row r="334" spans="1:11" s="785" customFormat="1">
      <c r="A334" s="787" t="s">
        <v>14571</v>
      </c>
      <c r="C334" s="786"/>
      <c r="D334" s="788">
        <f>SUM(D319:D327)+D329+D331+D332</f>
        <v>77739</v>
      </c>
    </row>
    <row r="335" spans="1:11" s="785" customFormat="1">
      <c r="A335" s="787" t="s">
        <v>14613</v>
      </c>
      <c r="C335" s="786"/>
      <c r="D335" s="788">
        <f>D328+D330</f>
        <v>14574</v>
      </c>
    </row>
    <row r="336" spans="1:11" s="785" customFormat="1">
      <c r="A336" s="787"/>
      <c r="C336" s="786"/>
      <c r="D336" s="788"/>
    </row>
    <row r="337" spans="1:11" s="785" customFormat="1">
      <c r="A337" s="787" t="s">
        <v>14943</v>
      </c>
      <c r="C337" s="786"/>
      <c r="D337" s="788"/>
    </row>
    <row r="338" spans="1:11" s="785" customFormat="1">
      <c r="A338" s="787"/>
      <c r="B338" s="787"/>
      <c r="C338" s="786"/>
      <c r="D338" s="797"/>
    </row>
    <row r="339" spans="1:11" s="785" customFormat="1">
      <c r="A339" s="787"/>
      <c r="B339" s="787"/>
      <c r="C339" s="786"/>
      <c r="D339" s="797"/>
    </row>
    <row r="340" spans="1:11" s="785" customFormat="1">
      <c r="C340" s="786"/>
      <c r="D340" s="10" t="s">
        <v>285</v>
      </c>
      <c r="E340" s="16"/>
      <c r="F340" s="5" t="s">
        <v>4116</v>
      </c>
    </row>
    <row r="341" spans="1:11" s="785" customFormat="1">
      <c r="C341" s="786"/>
      <c r="D341" s="15">
        <v>2016</v>
      </c>
      <c r="E341" s="16"/>
      <c r="F341" s="18" t="s">
        <v>286</v>
      </c>
    </row>
    <row r="342" spans="1:11" s="785" customFormat="1">
      <c r="A342" s="787" t="s">
        <v>14944</v>
      </c>
      <c r="C342" s="786"/>
      <c r="D342" s="788">
        <f t="shared" ref="D342" si="45">SUM(D343:D376)</f>
        <v>137973</v>
      </c>
      <c r="E342" s="797"/>
    </row>
    <row r="343" spans="1:11" s="785" customFormat="1">
      <c r="A343" s="787" t="s">
        <v>812</v>
      </c>
      <c r="B343" s="787" t="s">
        <v>14945</v>
      </c>
      <c r="C343" s="292" t="s">
        <v>14946</v>
      </c>
      <c r="D343" s="293">
        <v>4702</v>
      </c>
      <c r="F343" s="787" t="s">
        <v>14573</v>
      </c>
      <c r="G343" s="781"/>
      <c r="I343" s="292"/>
      <c r="K343" s="292"/>
    </row>
    <row r="344" spans="1:11" s="785" customFormat="1">
      <c r="A344" s="787" t="s">
        <v>813</v>
      </c>
      <c r="B344" s="787" t="s">
        <v>5408</v>
      </c>
      <c r="C344" s="292" t="s">
        <v>14947</v>
      </c>
      <c r="D344" s="295">
        <v>4809</v>
      </c>
      <c r="F344" s="787" t="s">
        <v>14576</v>
      </c>
      <c r="G344" s="783"/>
      <c r="I344" s="292"/>
      <c r="K344" s="292"/>
    </row>
    <row r="345" spans="1:11" s="785" customFormat="1">
      <c r="A345" s="787" t="s">
        <v>814</v>
      </c>
      <c r="B345" s="787" t="s">
        <v>14948</v>
      </c>
      <c r="C345" s="292" t="s">
        <v>14949</v>
      </c>
      <c r="D345" s="295">
        <v>2209</v>
      </c>
      <c r="F345" s="787" t="s">
        <v>14576</v>
      </c>
      <c r="G345" s="783"/>
      <c r="I345" s="292"/>
      <c r="K345" s="292"/>
    </row>
    <row r="346" spans="1:11" s="785" customFormat="1">
      <c r="A346" s="787" t="s">
        <v>815</v>
      </c>
      <c r="B346" s="787" t="s">
        <v>14950</v>
      </c>
      <c r="C346" s="292" t="s">
        <v>14951</v>
      </c>
      <c r="D346" s="295">
        <v>3975</v>
      </c>
      <c r="F346" s="787" t="s">
        <v>14576</v>
      </c>
      <c r="G346" s="783"/>
      <c r="I346" s="292"/>
      <c r="K346" s="292"/>
    </row>
    <row r="347" spans="1:11" s="785" customFormat="1">
      <c r="A347" s="795">
        <v>5</v>
      </c>
      <c r="B347" s="787" t="s">
        <v>14952</v>
      </c>
      <c r="C347" s="292" t="s">
        <v>14953</v>
      </c>
      <c r="D347" s="293">
        <v>4418</v>
      </c>
      <c r="F347" s="787" t="s">
        <v>14576</v>
      </c>
      <c r="G347" s="781"/>
      <c r="I347" s="292"/>
      <c r="K347" s="292"/>
    </row>
    <row r="348" spans="1:11" s="785" customFormat="1">
      <c r="A348" s="795">
        <v>6</v>
      </c>
      <c r="B348" s="787" t="s">
        <v>14954</v>
      </c>
      <c r="C348" s="292" t="s">
        <v>14955</v>
      </c>
      <c r="D348" s="293">
        <v>2124</v>
      </c>
      <c r="F348" s="787" t="s">
        <v>14573</v>
      </c>
      <c r="G348" s="781"/>
      <c r="I348" s="292"/>
      <c r="K348" s="292"/>
    </row>
    <row r="349" spans="1:11" s="785" customFormat="1">
      <c r="A349" s="795">
        <v>7</v>
      </c>
      <c r="B349" s="787" t="s">
        <v>14956</v>
      </c>
      <c r="C349" s="292" t="s">
        <v>14957</v>
      </c>
      <c r="D349" s="295">
        <v>4470</v>
      </c>
      <c r="F349" s="787" t="s">
        <v>14576</v>
      </c>
      <c r="G349" s="783"/>
      <c r="I349" s="292"/>
      <c r="K349" s="292"/>
    </row>
    <row r="350" spans="1:11" s="785" customFormat="1">
      <c r="A350" s="787" t="s">
        <v>828</v>
      </c>
      <c r="B350" s="787" t="s">
        <v>14958</v>
      </c>
      <c r="C350" s="292" t="s">
        <v>14959</v>
      </c>
      <c r="D350" s="293">
        <v>4404</v>
      </c>
      <c r="F350" s="787" t="s">
        <v>14573</v>
      </c>
      <c r="G350" s="781"/>
      <c r="I350" s="292"/>
      <c r="K350" s="292"/>
    </row>
    <row r="351" spans="1:11" s="785" customFormat="1">
      <c r="A351" s="787" t="s">
        <v>829</v>
      </c>
      <c r="B351" s="787" t="s">
        <v>14960</v>
      </c>
      <c r="C351" s="292" t="s">
        <v>14961</v>
      </c>
      <c r="D351" s="295">
        <v>2579</v>
      </c>
      <c r="F351" s="787" t="s">
        <v>14576</v>
      </c>
      <c r="G351" s="783"/>
      <c r="I351" s="292"/>
      <c r="K351" s="292"/>
    </row>
    <row r="352" spans="1:11" s="785" customFormat="1">
      <c r="A352" s="795">
        <v>10</v>
      </c>
      <c r="B352" s="787" t="s">
        <v>14962</v>
      </c>
      <c r="C352" s="292" t="s">
        <v>14963</v>
      </c>
      <c r="D352" s="293">
        <v>4959</v>
      </c>
      <c r="F352" s="787" t="s">
        <v>14573</v>
      </c>
      <c r="G352" s="781"/>
      <c r="I352" s="292"/>
      <c r="K352" s="292"/>
    </row>
    <row r="353" spans="1:11" s="785" customFormat="1">
      <c r="A353" s="795">
        <v>11</v>
      </c>
      <c r="B353" s="787" t="s">
        <v>14964</v>
      </c>
      <c r="C353" s="292" t="s">
        <v>14965</v>
      </c>
      <c r="D353" s="293">
        <v>4496</v>
      </c>
      <c r="F353" s="787" t="s">
        <v>14573</v>
      </c>
      <c r="G353" s="781"/>
      <c r="I353" s="292"/>
      <c r="K353" s="292"/>
    </row>
    <row r="354" spans="1:11" s="785" customFormat="1">
      <c r="A354" s="795">
        <v>12</v>
      </c>
      <c r="B354" s="787" t="s">
        <v>14966</v>
      </c>
      <c r="C354" s="292" t="s">
        <v>14967</v>
      </c>
      <c r="D354" s="295">
        <v>2350</v>
      </c>
      <c r="F354" s="787" t="s">
        <v>14576</v>
      </c>
      <c r="G354" s="783"/>
      <c r="I354" s="292"/>
      <c r="K354" s="292"/>
    </row>
    <row r="355" spans="1:11" s="785" customFormat="1">
      <c r="A355" s="787" t="s">
        <v>833</v>
      </c>
      <c r="B355" s="787" t="s">
        <v>14968</v>
      </c>
      <c r="C355" s="292" t="s">
        <v>14969</v>
      </c>
      <c r="D355" s="293">
        <v>4772</v>
      </c>
      <c r="F355" s="787" t="s">
        <v>14573</v>
      </c>
      <c r="G355" s="781"/>
      <c r="I355" s="292"/>
      <c r="K355" s="292"/>
    </row>
    <row r="356" spans="1:11" s="785" customFormat="1">
      <c r="A356" s="787" t="s">
        <v>834</v>
      </c>
      <c r="B356" s="787" t="s">
        <v>14970</v>
      </c>
      <c r="C356" s="292" t="s">
        <v>14971</v>
      </c>
      <c r="D356" s="295">
        <v>4720</v>
      </c>
      <c r="F356" s="787" t="s">
        <v>14576</v>
      </c>
      <c r="G356" s="783"/>
      <c r="I356" s="292"/>
      <c r="K356" s="292"/>
    </row>
    <row r="357" spans="1:11" s="785" customFormat="1">
      <c r="A357" s="795">
        <v>15</v>
      </c>
      <c r="B357" s="787" t="s">
        <v>14972</v>
      </c>
      <c r="C357" s="292" t="s">
        <v>14973</v>
      </c>
      <c r="D357" s="295">
        <v>5237</v>
      </c>
      <c r="F357" s="787" t="s">
        <v>14576</v>
      </c>
      <c r="G357" s="783"/>
      <c r="I357" s="292"/>
      <c r="K357" s="292"/>
    </row>
    <row r="358" spans="1:11" s="785" customFormat="1">
      <c r="A358" s="795">
        <v>16</v>
      </c>
      <c r="B358" s="787" t="s">
        <v>14974</v>
      </c>
      <c r="C358" s="292" t="s">
        <v>14975</v>
      </c>
      <c r="D358" s="295">
        <v>2055</v>
      </c>
      <c r="F358" s="787" t="s">
        <v>14576</v>
      </c>
      <c r="G358" s="783"/>
      <c r="I358" s="292"/>
      <c r="K358" s="292"/>
    </row>
    <row r="359" spans="1:11" s="785" customFormat="1">
      <c r="A359" s="787" t="s">
        <v>837</v>
      </c>
      <c r="B359" s="787" t="s">
        <v>14976</v>
      </c>
      <c r="C359" s="292" t="s">
        <v>14977</v>
      </c>
      <c r="D359" s="293">
        <v>2634</v>
      </c>
      <c r="F359" s="787" t="s">
        <v>14573</v>
      </c>
      <c r="G359" s="781"/>
      <c r="I359" s="292"/>
      <c r="K359" s="292"/>
    </row>
    <row r="360" spans="1:11" s="785" customFormat="1">
      <c r="A360" s="787" t="s">
        <v>838</v>
      </c>
      <c r="B360" s="787" t="s">
        <v>14978</v>
      </c>
      <c r="C360" s="292" t="s">
        <v>14979</v>
      </c>
      <c r="D360" s="293">
        <v>4928</v>
      </c>
      <c r="F360" s="787" t="s">
        <v>14573</v>
      </c>
      <c r="G360" s="781"/>
      <c r="I360" s="292"/>
      <c r="K360" s="292"/>
    </row>
    <row r="361" spans="1:11" s="785" customFormat="1">
      <c r="A361" s="787" t="s">
        <v>840</v>
      </c>
      <c r="B361" s="787" t="s">
        <v>14980</v>
      </c>
      <c r="C361" s="292" t="s">
        <v>14981</v>
      </c>
      <c r="D361" s="295">
        <v>4502</v>
      </c>
      <c r="F361" s="787" t="s">
        <v>14576</v>
      </c>
      <c r="G361" s="783"/>
      <c r="I361" s="292"/>
      <c r="K361" s="292"/>
    </row>
    <row r="362" spans="1:11" s="785" customFormat="1">
      <c r="A362" s="787" t="s">
        <v>841</v>
      </c>
      <c r="B362" s="787" t="s">
        <v>14982</v>
      </c>
      <c r="C362" s="292" t="s">
        <v>14983</v>
      </c>
      <c r="D362" s="293">
        <v>4905</v>
      </c>
      <c r="F362" s="787" t="s">
        <v>14573</v>
      </c>
      <c r="G362" s="781"/>
      <c r="I362" s="292"/>
      <c r="K362" s="292"/>
    </row>
    <row r="363" spans="1:11" s="785" customFormat="1">
      <c r="A363" s="787" t="s">
        <v>878</v>
      </c>
      <c r="B363" s="787" t="s">
        <v>14984</v>
      </c>
      <c r="C363" s="292" t="s">
        <v>14985</v>
      </c>
      <c r="D363" s="295">
        <v>4686</v>
      </c>
      <c r="F363" s="787" t="s">
        <v>14576</v>
      </c>
      <c r="G363" s="783"/>
      <c r="I363" s="292"/>
      <c r="K363" s="292"/>
    </row>
    <row r="364" spans="1:11" s="785" customFormat="1">
      <c r="A364" s="787" t="s">
        <v>879</v>
      </c>
      <c r="B364" s="787" t="s">
        <v>14986</v>
      </c>
      <c r="C364" s="292" t="s">
        <v>14987</v>
      </c>
      <c r="D364" s="293">
        <v>2353</v>
      </c>
      <c r="F364" s="787" t="s">
        <v>14573</v>
      </c>
      <c r="G364" s="781"/>
      <c r="I364" s="292"/>
      <c r="K364" s="292"/>
    </row>
    <row r="365" spans="1:11" s="785" customFormat="1">
      <c r="A365" s="787" t="s">
        <v>880</v>
      </c>
      <c r="B365" s="787" t="s">
        <v>14988</v>
      </c>
      <c r="C365" s="292" t="s">
        <v>14989</v>
      </c>
      <c r="D365" s="293">
        <v>4401</v>
      </c>
      <c r="F365" s="787" t="s">
        <v>14573</v>
      </c>
      <c r="G365" s="781"/>
      <c r="I365" s="292"/>
      <c r="K365" s="292"/>
    </row>
    <row r="366" spans="1:11" s="785" customFormat="1">
      <c r="A366" s="787" t="s">
        <v>721</v>
      </c>
      <c r="B366" s="787" t="s">
        <v>3052</v>
      </c>
      <c r="C366" s="292" t="s">
        <v>14990</v>
      </c>
      <c r="D366" s="295">
        <v>4180</v>
      </c>
      <c r="F366" s="787" t="s">
        <v>14576</v>
      </c>
      <c r="G366" s="783"/>
      <c r="I366" s="292"/>
      <c r="K366" s="292"/>
    </row>
    <row r="367" spans="1:11" s="785" customFormat="1">
      <c r="A367" s="787" t="s">
        <v>722</v>
      </c>
      <c r="B367" s="787" t="s">
        <v>7281</v>
      </c>
      <c r="C367" s="292" t="s">
        <v>14991</v>
      </c>
      <c r="D367" s="295">
        <v>4807</v>
      </c>
      <c r="F367" s="787" t="s">
        <v>14576</v>
      </c>
      <c r="G367" s="783"/>
      <c r="I367" s="292"/>
      <c r="K367" s="292"/>
    </row>
    <row r="368" spans="1:11" s="785" customFormat="1">
      <c r="A368" s="787" t="s">
        <v>723</v>
      </c>
      <c r="B368" s="787" t="s">
        <v>14992</v>
      </c>
      <c r="C368" s="292" t="s">
        <v>14993</v>
      </c>
      <c r="D368" s="295">
        <v>4755</v>
      </c>
      <c r="F368" s="787" t="s">
        <v>14576</v>
      </c>
      <c r="G368" s="783"/>
      <c r="I368" s="292"/>
      <c r="K368" s="292"/>
    </row>
    <row r="369" spans="1:11" s="785" customFormat="1">
      <c r="A369" s="787" t="s">
        <v>733</v>
      </c>
      <c r="B369" s="787" t="s">
        <v>14994</v>
      </c>
      <c r="C369" s="292" t="s">
        <v>14995</v>
      </c>
      <c r="D369" s="295">
        <v>2100</v>
      </c>
      <c r="F369" s="787" t="s">
        <v>14576</v>
      </c>
      <c r="G369" s="783"/>
      <c r="I369" s="292"/>
      <c r="K369" s="292"/>
    </row>
    <row r="370" spans="1:11" s="785" customFormat="1">
      <c r="A370" s="787" t="s">
        <v>734</v>
      </c>
      <c r="B370" s="787" t="s">
        <v>14996</v>
      </c>
      <c r="C370" s="292" t="s">
        <v>14997</v>
      </c>
      <c r="D370" s="295">
        <v>4845</v>
      </c>
      <c r="F370" s="787" t="s">
        <v>14576</v>
      </c>
      <c r="G370" s="783"/>
      <c r="I370" s="292"/>
      <c r="K370" s="292"/>
    </row>
    <row r="371" spans="1:11" s="785" customFormat="1">
      <c r="A371" s="787" t="s">
        <v>735</v>
      </c>
      <c r="B371" s="787" t="s">
        <v>14998</v>
      </c>
      <c r="C371" s="292" t="s">
        <v>14999</v>
      </c>
      <c r="D371" s="295">
        <v>4592</v>
      </c>
      <c r="F371" s="787" t="s">
        <v>14576</v>
      </c>
      <c r="G371" s="783"/>
      <c r="I371" s="292"/>
      <c r="K371" s="292"/>
    </row>
    <row r="372" spans="1:11" s="785" customFormat="1">
      <c r="A372" s="787" t="s">
        <v>736</v>
      </c>
      <c r="B372" s="787" t="s">
        <v>15000</v>
      </c>
      <c r="C372" s="292" t="s">
        <v>15001</v>
      </c>
      <c r="D372" s="293">
        <v>4211</v>
      </c>
      <c r="F372" s="787" t="s">
        <v>14573</v>
      </c>
      <c r="G372" s="781"/>
      <c r="I372" s="292"/>
      <c r="K372" s="292"/>
    </row>
    <row r="373" spans="1:11" s="785" customFormat="1">
      <c r="A373" s="787" t="s">
        <v>932</v>
      </c>
      <c r="B373" s="787" t="s">
        <v>15002</v>
      </c>
      <c r="C373" s="292" t="s">
        <v>15003</v>
      </c>
      <c r="D373" s="293">
        <v>4890</v>
      </c>
      <c r="F373" s="787" t="s">
        <v>14573</v>
      </c>
      <c r="G373" s="781"/>
      <c r="I373" s="292"/>
      <c r="K373" s="292"/>
    </row>
    <row r="374" spans="1:11" s="785" customFormat="1">
      <c r="A374" s="787" t="s">
        <v>931</v>
      </c>
      <c r="B374" s="787" t="s">
        <v>15004</v>
      </c>
      <c r="C374" s="292" t="s">
        <v>15005</v>
      </c>
      <c r="D374" s="293">
        <v>4611</v>
      </c>
      <c r="F374" s="787" t="s">
        <v>14573</v>
      </c>
      <c r="G374" s="781"/>
      <c r="I374" s="292"/>
      <c r="K374" s="292"/>
    </row>
    <row r="375" spans="1:11" s="785" customFormat="1">
      <c r="A375" s="787" t="s">
        <v>933</v>
      </c>
      <c r="B375" s="787" t="s">
        <v>15006</v>
      </c>
      <c r="C375" s="292" t="s">
        <v>15007</v>
      </c>
      <c r="D375" s="295">
        <v>4569</v>
      </c>
      <c r="F375" s="787" t="s">
        <v>14573</v>
      </c>
      <c r="G375" s="783"/>
      <c r="I375" s="292"/>
      <c r="K375" s="292"/>
    </row>
    <row r="376" spans="1:11" s="785" customFormat="1">
      <c r="A376" s="795">
        <v>34</v>
      </c>
      <c r="B376" s="787" t="s">
        <v>15008</v>
      </c>
      <c r="C376" s="292" t="s">
        <v>15009</v>
      </c>
      <c r="D376" s="295">
        <v>3725</v>
      </c>
      <c r="F376" s="787" t="s">
        <v>14573</v>
      </c>
      <c r="G376" s="783"/>
      <c r="I376" s="292"/>
      <c r="K376" s="292"/>
    </row>
    <row r="377" spans="1:11" s="785" customFormat="1">
      <c r="C377" s="786"/>
      <c r="D377" s="790"/>
    </row>
    <row r="378" spans="1:11" s="785" customFormat="1">
      <c r="A378" s="787" t="s">
        <v>15010</v>
      </c>
      <c r="C378" s="786"/>
      <c r="D378" s="788">
        <f>D343+D348+D350+D352+D353+D355+D359+D360+D362+D364+D365+SUM(D372:D376)</f>
        <v>66684</v>
      </c>
    </row>
    <row r="379" spans="1:11" s="785" customFormat="1">
      <c r="A379" s="787" t="s">
        <v>14576</v>
      </c>
      <c r="C379" s="786"/>
      <c r="D379" s="788">
        <f>SUM(D344:D347)+D349+D351+D354+SUM(D356:D358)+D361+D363+SUM(D366:D371)</f>
        <v>71289</v>
      </c>
    </row>
    <row r="380" spans="1:11" s="785" customFormat="1">
      <c r="A380" s="787"/>
      <c r="C380" s="786"/>
      <c r="D380" s="788"/>
    </row>
    <row r="381" spans="1:11" s="785" customFormat="1">
      <c r="A381" s="787" t="s">
        <v>15011</v>
      </c>
      <c r="C381" s="786"/>
      <c r="D381" s="788"/>
    </row>
    <row r="382" spans="1:11" s="785" customFormat="1">
      <c r="A382" s="787" t="s">
        <v>15012</v>
      </c>
      <c r="C382" s="786"/>
      <c r="D382" s="788"/>
    </row>
    <row r="383" spans="1:11" s="785" customFormat="1">
      <c r="A383" s="787"/>
      <c r="B383" s="787"/>
      <c r="C383" s="786"/>
      <c r="D383" s="797"/>
    </row>
    <row r="384" spans="1:11" s="785" customFormat="1">
      <c r="A384" s="787"/>
      <c r="B384" s="787"/>
      <c r="C384" s="786"/>
      <c r="D384" s="797"/>
    </row>
    <row r="385" spans="1:11" s="785" customFormat="1">
      <c r="C385" s="786"/>
      <c r="D385" s="10" t="s">
        <v>285</v>
      </c>
      <c r="E385" s="16"/>
      <c r="F385" s="5" t="s">
        <v>4116</v>
      </c>
    </row>
    <row r="386" spans="1:11" s="785" customFormat="1">
      <c r="C386" s="786"/>
      <c r="D386" s="15">
        <v>2016</v>
      </c>
      <c r="E386" s="16"/>
      <c r="F386" s="18" t="s">
        <v>286</v>
      </c>
    </row>
    <row r="387" spans="1:11" s="785" customFormat="1">
      <c r="A387" s="787" t="s">
        <v>15013</v>
      </c>
      <c r="C387" s="786"/>
      <c r="D387" s="788">
        <f t="shared" ref="D387" si="46">SUM(D388:D400)</f>
        <v>62487</v>
      </c>
    </row>
    <row r="388" spans="1:11" s="785" customFormat="1">
      <c r="A388" s="787" t="s">
        <v>812</v>
      </c>
      <c r="B388" s="787" t="s">
        <v>15014</v>
      </c>
      <c r="C388" s="292" t="s">
        <v>15015</v>
      </c>
      <c r="D388" s="293">
        <v>5177</v>
      </c>
      <c r="F388" s="787" t="s">
        <v>14559</v>
      </c>
      <c r="I388" s="292"/>
      <c r="K388" s="292"/>
    </row>
    <row r="389" spans="1:11" s="785" customFormat="1">
      <c r="A389" s="787" t="s">
        <v>813</v>
      </c>
      <c r="B389" s="787" t="s">
        <v>15016</v>
      </c>
      <c r="C389" s="292" t="s">
        <v>15017</v>
      </c>
      <c r="D389" s="293">
        <v>5057</v>
      </c>
      <c r="F389" s="787" t="s">
        <v>14559</v>
      </c>
      <c r="I389" s="292"/>
      <c r="K389" s="292"/>
    </row>
    <row r="390" spans="1:11" s="785" customFormat="1">
      <c r="A390" s="787" t="s">
        <v>814</v>
      </c>
      <c r="B390" s="787" t="s">
        <v>15018</v>
      </c>
      <c r="C390" s="292" t="s">
        <v>15019</v>
      </c>
      <c r="D390" s="293">
        <v>5276</v>
      </c>
      <c r="F390" s="787" t="s">
        <v>14559</v>
      </c>
      <c r="I390" s="292"/>
      <c r="K390" s="292"/>
    </row>
    <row r="391" spans="1:11" s="785" customFormat="1">
      <c r="A391" s="787" t="s">
        <v>815</v>
      </c>
      <c r="B391" s="787" t="s">
        <v>15020</v>
      </c>
      <c r="C391" s="292" t="s">
        <v>15021</v>
      </c>
      <c r="D391" s="293">
        <v>4259</v>
      </c>
      <c r="F391" s="787" t="s">
        <v>14559</v>
      </c>
      <c r="I391" s="292"/>
      <c r="K391" s="292"/>
    </row>
    <row r="392" spans="1:11" s="785" customFormat="1">
      <c r="A392" s="787" t="s">
        <v>816</v>
      </c>
      <c r="B392" s="787" t="s">
        <v>14970</v>
      </c>
      <c r="C392" s="292" t="s">
        <v>15022</v>
      </c>
      <c r="D392" s="293">
        <v>5190</v>
      </c>
      <c r="F392" s="787" t="s">
        <v>14559</v>
      </c>
      <c r="I392" s="292"/>
      <c r="K392" s="292"/>
    </row>
    <row r="393" spans="1:11" s="785" customFormat="1">
      <c r="A393" s="787" t="s">
        <v>826</v>
      </c>
      <c r="B393" s="787" t="s">
        <v>15023</v>
      </c>
      <c r="C393" s="292" t="s">
        <v>15024</v>
      </c>
      <c r="D393" s="293">
        <v>5442</v>
      </c>
      <c r="F393" s="787" t="s">
        <v>14559</v>
      </c>
      <c r="I393" s="292"/>
      <c r="K393" s="292"/>
    </row>
    <row r="394" spans="1:11" s="785" customFormat="1">
      <c r="A394" s="787" t="s">
        <v>827</v>
      </c>
      <c r="B394" s="787" t="s">
        <v>10238</v>
      </c>
      <c r="C394" s="292" t="s">
        <v>15025</v>
      </c>
      <c r="D394" s="293">
        <v>5447</v>
      </c>
      <c r="F394" s="787" t="s">
        <v>14559</v>
      </c>
      <c r="I394" s="292"/>
      <c r="K394" s="292"/>
    </row>
    <row r="395" spans="1:11" s="785" customFormat="1">
      <c r="A395" s="787" t="s">
        <v>828</v>
      </c>
      <c r="B395" s="787" t="s">
        <v>15026</v>
      </c>
      <c r="C395" s="292" t="s">
        <v>15027</v>
      </c>
      <c r="D395" s="293">
        <v>4547</v>
      </c>
      <c r="F395" s="787" t="s">
        <v>14559</v>
      </c>
      <c r="I395" s="292"/>
      <c r="K395" s="292"/>
    </row>
    <row r="396" spans="1:11" s="785" customFormat="1">
      <c r="A396" s="787" t="s">
        <v>829</v>
      </c>
      <c r="B396" s="787" t="s">
        <v>15028</v>
      </c>
      <c r="C396" s="292" t="s">
        <v>15029</v>
      </c>
      <c r="D396" s="293">
        <v>4994</v>
      </c>
      <c r="F396" s="787" t="s">
        <v>14559</v>
      </c>
      <c r="I396" s="292"/>
      <c r="K396" s="292"/>
    </row>
    <row r="397" spans="1:11" s="785" customFormat="1">
      <c r="A397" s="787" t="s">
        <v>830</v>
      </c>
      <c r="B397" s="787" t="s">
        <v>2912</v>
      </c>
      <c r="C397" s="292" t="s">
        <v>15030</v>
      </c>
      <c r="D397" s="293">
        <v>4966</v>
      </c>
      <c r="F397" s="787" t="s">
        <v>14559</v>
      </c>
      <c r="I397" s="292"/>
      <c r="K397" s="292"/>
    </row>
    <row r="398" spans="1:11" s="785" customFormat="1">
      <c r="A398" s="787" t="s">
        <v>831</v>
      </c>
      <c r="B398" s="787" t="s">
        <v>1024</v>
      </c>
      <c r="C398" s="292" t="s">
        <v>15031</v>
      </c>
      <c r="D398" s="293">
        <v>4763</v>
      </c>
      <c r="F398" s="787" t="s">
        <v>14559</v>
      </c>
      <c r="I398" s="292"/>
      <c r="K398" s="292"/>
    </row>
    <row r="399" spans="1:11" s="785" customFormat="1">
      <c r="A399" s="787" t="s">
        <v>832</v>
      </c>
      <c r="B399" s="787" t="s">
        <v>15032</v>
      </c>
      <c r="C399" s="292" t="s">
        <v>15033</v>
      </c>
      <c r="D399" s="293">
        <v>2471</v>
      </c>
      <c r="F399" s="787" t="s">
        <v>14559</v>
      </c>
      <c r="I399" s="292"/>
      <c r="K399" s="292"/>
    </row>
    <row r="400" spans="1:11" s="785" customFormat="1">
      <c r="A400" s="787" t="s">
        <v>833</v>
      </c>
      <c r="B400" s="787" t="s">
        <v>15034</v>
      </c>
      <c r="C400" s="292" t="s">
        <v>15035</v>
      </c>
      <c r="D400" s="293">
        <v>4898</v>
      </c>
      <c r="F400" s="787" t="s">
        <v>14559</v>
      </c>
      <c r="I400" s="292"/>
      <c r="K400" s="292"/>
    </row>
    <row r="401" spans="1:11" s="785" customFormat="1">
      <c r="C401" s="786"/>
      <c r="D401" s="790"/>
    </row>
    <row r="402" spans="1:11" s="785" customFormat="1">
      <c r="A402" s="787" t="s">
        <v>14913</v>
      </c>
      <c r="C402" s="786"/>
      <c r="D402" s="788">
        <f t="shared" ref="D402" si="47">SUM(D388:D400)</f>
        <v>62487</v>
      </c>
    </row>
    <row r="403" spans="1:11" s="785" customFormat="1">
      <c r="A403" s="787"/>
      <c r="C403" s="786"/>
      <c r="D403" s="788"/>
    </row>
    <row r="404" spans="1:11" s="785" customFormat="1">
      <c r="A404" s="787" t="s">
        <v>15036</v>
      </c>
      <c r="C404" s="786"/>
      <c r="D404" s="788"/>
    </row>
    <row r="405" spans="1:11" s="785" customFormat="1">
      <c r="A405" s="787"/>
      <c r="B405" s="787"/>
      <c r="C405" s="786"/>
      <c r="D405" s="797"/>
    </row>
    <row r="406" spans="1:11" s="785" customFormat="1">
      <c r="A406" s="787"/>
      <c r="B406" s="787"/>
      <c r="C406" s="786"/>
      <c r="D406" s="797"/>
    </row>
    <row r="407" spans="1:11" s="785" customFormat="1">
      <c r="C407" s="786"/>
      <c r="D407" s="10" t="s">
        <v>285</v>
      </c>
      <c r="E407" s="16"/>
      <c r="F407" s="5" t="s">
        <v>4116</v>
      </c>
    </row>
    <row r="408" spans="1:11" s="785" customFormat="1">
      <c r="C408" s="786"/>
      <c r="D408" s="15">
        <v>2016</v>
      </c>
      <c r="E408" s="16"/>
      <c r="F408" s="18" t="s">
        <v>286</v>
      </c>
    </row>
    <row r="409" spans="1:11" s="785" customFormat="1">
      <c r="A409" s="787" t="s">
        <v>15037</v>
      </c>
      <c r="C409" s="786"/>
      <c r="D409" s="788">
        <f t="shared" ref="D409" si="48">SUM(D410:D433)</f>
        <v>90897</v>
      </c>
    </row>
    <row r="410" spans="1:11" s="785" customFormat="1">
      <c r="A410" s="787" t="s">
        <v>812</v>
      </c>
      <c r="B410" s="787" t="s">
        <v>998</v>
      </c>
      <c r="C410" s="292" t="s">
        <v>15038</v>
      </c>
      <c r="D410" s="293">
        <v>3786</v>
      </c>
      <c r="F410" s="787" t="s">
        <v>14585</v>
      </c>
      <c r="I410" s="292"/>
      <c r="K410" s="292"/>
    </row>
    <row r="411" spans="1:11" s="785" customFormat="1">
      <c r="A411" s="787" t="s">
        <v>813</v>
      </c>
      <c r="B411" s="787" t="s">
        <v>15039</v>
      </c>
      <c r="C411" s="292" t="s">
        <v>15040</v>
      </c>
      <c r="D411" s="293">
        <v>6818</v>
      </c>
      <c r="F411" s="787" t="s">
        <v>14578</v>
      </c>
      <c r="I411" s="292"/>
      <c r="K411" s="292"/>
    </row>
    <row r="412" spans="1:11" s="785" customFormat="1">
      <c r="A412" s="795">
        <v>3</v>
      </c>
      <c r="B412" s="787" t="s">
        <v>15041</v>
      </c>
      <c r="C412" s="292" t="s">
        <v>15042</v>
      </c>
      <c r="D412" s="293">
        <v>1803</v>
      </c>
      <c r="F412" s="787" t="s">
        <v>14585</v>
      </c>
      <c r="I412" s="292"/>
      <c r="K412" s="292"/>
    </row>
    <row r="413" spans="1:11" s="785" customFormat="1">
      <c r="A413" s="795">
        <v>4</v>
      </c>
      <c r="B413" s="787" t="s">
        <v>15043</v>
      </c>
      <c r="C413" s="292" t="s">
        <v>15044</v>
      </c>
      <c r="D413" s="293">
        <v>1820</v>
      </c>
      <c r="F413" s="787" t="s">
        <v>14585</v>
      </c>
      <c r="I413" s="292"/>
      <c r="K413" s="292"/>
    </row>
    <row r="414" spans="1:11" s="785" customFormat="1">
      <c r="A414" s="795">
        <v>5</v>
      </c>
      <c r="B414" s="787" t="s">
        <v>15045</v>
      </c>
      <c r="C414" s="292" t="s">
        <v>15046</v>
      </c>
      <c r="D414" s="293">
        <v>3740</v>
      </c>
      <c r="F414" s="787" t="s">
        <v>14585</v>
      </c>
      <c r="I414" s="292"/>
      <c r="K414" s="292"/>
    </row>
    <row r="415" spans="1:11" s="785" customFormat="1">
      <c r="A415" s="795">
        <v>6</v>
      </c>
      <c r="B415" s="787" t="s">
        <v>15047</v>
      </c>
      <c r="C415" s="292" t="s">
        <v>15048</v>
      </c>
      <c r="D415" s="293">
        <v>4103</v>
      </c>
      <c r="F415" s="787" t="s">
        <v>14573</v>
      </c>
      <c r="I415" s="292"/>
      <c r="K415" s="292"/>
    </row>
    <row r="416" spans="1:11" s="785" customFormat="1">
      <c r="A416" s="795">
        <v>7</v>
      </c>
      <c r="B416" s="787" t="s">
        <v>15049</v>
      </c>
      <c r="C416" s="292" t="s">
        <v>15050</v>
      </c>
      <c r="D416" s="293">
        <v>1641</v>
      </c>
      <c r="F416" s="787" t="s">
        <v>14578</v>
      </c>
      <c r="I416" s="292"/>
      <c r="K416" s="292"/>
    </row>
    <row r="417" spans="1:11" s="785" customFormat="1">
      <c r="A417" s="795">
        <v>8</v>
      </c>
      <c r="B417" s="787" t="s">
        <v>15051</v>
      </c>
      <c r="C417" s="292" t="s">
        <v>15052</v>
      </c>
      <c r="D417" s="293">
        <v>3582</v>
      </c>
      <c r="F417" s="787" t="s">
        <v>14585</v>
      </c>
      <c r="I417" s="292"/>
      <c r="K417" s="292"/>
    </row>
    <row r="418" spans="1:11" s="785" customFormat="1">
      <c r="A418" s="795">
        <v>9</v>
      </c>
      <c r="B418" s="787" t="s">
        <v>9656</v>
      </c>
      <c r="C418" s="292" t="s">
        <v>15053</v>
      </c>
      <c r="D418" s="293">
        <v>1520</v>
      </c>
      <c r="F418" s="787" t="s">
        <v>14578</v>
      </c>
      <c r="I418" s="292"/>
      <c r="K418" s="292"/>
    </row>
    <row r="419" spans="1:11" s="785" customFormat="1">
      <c r="A419" s="795">
        <v>10</v>
      </c>
      <c r="B419" s="787" t="s">
        <v>15054</v>
      </c>
      <c r="C419" s="292" t="s">
        <v>15055</v>
      </c>
      <c r="D419" s="293">
        <v>5160</v>
      </c>
      <c r="F419" s="787" t="s">
        <v>14585</v>
      </c>
      <c r="I419" s="292"/>
      <c r="K419" s="292"/>
    </row>
    <row r="420" spans="1:11" s="785" customFormat="1">
      <c r="A420" s="795">
        <v>11</v>
      </c>
      <c r="B420" s="787" t="s">
        <v>15056</v>
      </c>
      <c r="C420" s="292" t="s">
        <v>15057</v>
      </c>
      <c r="D420" s="295">
        <v>3895</v>
      </c>
      <c r="F420" s="787" t="s">
        <v>14585</v>
      </c>
      <c r="I420" s="292"/>
      <c r="K420" s="292"/>
    </row>
    <row r="421" spans="1:11" s="785" customFormat="1">
      <c r="A421" s="795">
        <v>12</v>
      </c>
      <c r="B421" s="787" t="s">
        <v>15058</v>
      </c>
      <c r="C421" s="292" t="s">
        <v>15059</v>
      </c>
      <c r="D421" s="295">
        <v>1733</v>
      </c>
      <c r="F421" s="787" t="s">
        <v>14573</v>
      </c>
      <c r="I421" s="292"/>
      <c r="K421" s="292"/>
    </row>
    <row r="422" spans="1:11" s="785" customFormat="1">
      <c r="A422" s="795">
        <v>13</v>
      </c>
      <c r="B422" s="787" t="s">
        <v>11572</v>
      </c>
      <c r="C422" s="292" t="s">
        <v>15060</v>
      </c>
      <c r="D422" s="295">
        <v>1748</v>
      </c>
      <c r="F422" s="787" t="s">
        <v>14585</v>
      </c>
      <c r="I422" s="292"/>
      <c r="K422" s="292"/>
    </row>
    <row r="423" spans="1:11" s="785" customFormat="1">
      <c r="A423" s="795">
        <v>14</v>
      </c>
      <c r="B423" s="787" t="s">
        <v>15061</v>
      </c>
      <c r="C423" s="292" t="s">
        <v>15062</v>
      </c>
      <c r="D423" s="293">
        <v>5740</v>
      </c>
      <c r="F423" s="787" t="s">
        <v>14578</v>
      </c>
      <c r="I423" s="292"/>
      <c r="K423" s="292"/>
    </row>
    <row r="424" spans="1:11" s="785" customFormat="1">
      <c r="A424" s="795">
        <v>15</v>
      </c>
      <c r="B424" s="787" t="s">
        <v>15063</v>
      </c>
      <c r="C424" s="292" t="s">
        <v>15064</v>
      </c>
      <c r="D424" s="295">
        <v>2106</v>
      </c>
      <c r="F424" s="787" t="s">
        <v>14585</v>
      </c>
      <c r="I424" s="292"/>
      <c r="K424" s="292"/>
    </row>
    <row r="425" spans="1:11" s="785" customFormat="1">
      <c r="A425" s="787" t="s">
        <v>836</v>
      </c>
      <c r="B425" s="787" t="s">
        <v>15065</v>
      </c>
      <c r="C425" s="292" t="s">
        <v>15066</v>
      </c>
      <c r="D425" s="293">
        <v>5512</v>
      </c>
      <c r="F425" s="787" t="s">
        <v>14578</v>
      </c>
      <c r="I425" s="292"/>
      <c r="K425" s="292"/>
    </row>
    <row r="426" spans="1:11" s="785" customFormat="1">
      <c r="A426" s="787" t="s">
        <v>837</v>
      </c>
      <c r="B426" s="787" t="s">
        <v>15067</v>
      </c>
      <c r="C426" s="292" t="s">
        <v>15068</v>
      </c>
      <c r="D426" s="295">
        <v>5382</v>
      </c>
      <c r="F426" s="787" t="s">
        <v>14585</v>
      </c>
      <c r="I426" s="292"/>
      <c r="K426" s="292"/>
    </row>
    <row r="427" spans="1:11" s="785" customFormat="1">
      <c r="A427" s="787" t="s">
        <v>838</v>
      </c>
      <c r="B427" s="787" t="s">
        <v>15069</v>
      </c>
      <c r="C427" s="292" t="s">
        <v>15070</v>
      </c>
      <c r="D427" s="295">
        <v>1369</v>
      </c>
      <c r="F427" s="787" t="s">
        <v>14585</v>
      </c>
      <c r="I427" s="292"/>
      <c r="K427" s="292"/>
    </row>
    <row r="428" spans="1:11" s="785" customFormat="1">
      <c r="A428" s="787" t="s">
        <v>840</v>
      </c>
      <c r="B428" s="787" t="s">
        <v>15071</v>
      </c>
      <c r="C428" s="292" t="s">
        <v>15072</v>
      </c>
      <c r="D428" s="293">
        <v>3601</v>
      </c>
      <c r="F428" s="787" t="s">
        <v>14585</v>
      </c>
      <c r="I428" s="292"/>
      <c r="K428" s="292"/>
    </row>
    <row r="429" spans="1:11" s="785" customFormat="1">
      <c r="A429" s="787" t="s">
        <v>841</v>
      </c>
      <c r="B429" s="787" t="s">
        <v>15073</v>
      </c>
      <c r="C429" s="292" t="s">
        <v>15074</v>
      </c>
      <c r="D429" s="295">
        <v>3395</v>
      </c>
      <c r="F429" s="787" t="s">
        <v>14585</v>
      </c>
      <c r="I429" s="292"/>
      <c r="K429" s="292"/>
    </row>
    <row r="430" spans="1:11" s="785" customFormat="1">
      <c r="A430" s="787" t="s">
        <v>878</v>
      </c>
      <c r="B430" s="787" t="s">
        <v>5043</v>
      </c>
      <c r="C430" s="292" t="s">
        <v>15075</v>
      </c>
      <c r="D430" s="293">
        <v>6804</v>
      </c>
      <c r="F430" s="787" t="s">
        <v>14578</v>
      </c>
      <c r="I430" s="292"/>
      <c r="K430" s="292"/>
    </row>
    <row r="431" spans="1:11" s="785" customFormat="1">
      <c r="A431" s="787" t="s">
        <v>879</v>
      </c>
      <c r="B431" s="787" t="s">
        <v>15076</v>
      </c>
      <c r="C431" s="292" t="s">
        <v>15077</v>
      </c>
      <c r="D431" s="295">
        <v>3989</v>
      </c>
      <c r="F431" s="787" t="s">
        <v>14585</v>
      </c>
      <c r="I431" s="292"/>
      <c r="K431" s="292"/>
    </row>
    <row r="432" spans="1:11" s="785" customFormat="1">
      <c r="A432" s="787" t="s">
        <v>880</v>
      </c>
      <c r="B432" s="787" t="s">
        <v>15078</v>
      </c>
      <c r="C432" s="292" t="s">
        <v>15079</v>
      </c>
      <c r="D432" s="295">
        <v>5575</v>
      </c>
      <c r="F432" s="787" t="s">
        <v>14585</v>
      </c>
      <c r="I432" s="292"/>
      <c r="K432" s="292"/>
    </row>
    <row r="433" spans="1:11" s="785" customFormat="1">
      <c r="A433" s="795">
        <v>24</v>
      </c>
      <c r="B433" s="787" t="s">
        <v>12641</v>
      </c>
      <c r="C433" s="292" t="s">
        <v>15080</v>
      </c>
      <c r="D433" s="293">
        <v>6075</v>
      </c>
      <c r="F433" s="787" t="s">
        <v>14578</v>
      </c>
      <c r="I433" s="292"/>
      <c r="K433" s="292"/>
    </row>
    <row r="434" spans="1:11" s="785" customFormat="1">
      <c r="A434" s="795"/>
      <c r="B434" s="787"/>
      <c r="C434" s="292"/>
      <c r="D434" s="293"/>
      <c r="F434" s="787"/>
      <c r="I434" s="292"/>
      <c r="K434" s="292"/>
    </row>
    <row r="435" spans="1:11" s="785" customFormat="1">
      <c r="A435" s="787" t="s">
        <v>15010</v>
      </c>
      <c r="C435" s="786"/>
      <c r="D435" s="790">
        <f>D415+D421</f>
        <v>5836</v>
      </c>
    </row>
    <row r="436" spans="1:11" s="785" customFormat="1">
      <c r="A436" s="787" t="s">
        <v>14703</v>
      </c>
      <c r="C436" s="786"/>
      <c r="D436" s="788">
        <f>D411+D416+D418+D423+D425+D430+D433</f>
        <v>34110</v>
      </c>
    </row>
    <row r="437" spans="1:11" s="785" customFormat="1">
      <c r="A437" s="787" t="s">
        <v>14822</v>
      </c>
      <c r="C437" s="786"/>
      <c r="D437" s="788">
        <f>D410+SUM(D412:D414)+D417+D419+D420+D422+D424+SUM(D426:D429)+D431+D432</f>
        <v>50951</v>
      </c>
    </row>
    <row r="438" spans="1:11" s="785" customFormat="1">
      <c r="A438" s="787"/>
      <c r="C438" s="786"/>
      <c r="D438" s="788"/>
    </row>
    <row r="439" spans="1:11" s="785" customFormat="1">
      <c r="A439" s="787" t="s">
        <v>15081</v>
      </c>
      <c r="C439" s="786"/>
      <c r="D439" s="788"/>
    </row>
    <row r="440" spans="1:11" s="785" customFormat="1">
      <c r="A440" s="787"/>
      <c r="B440" s="787"/>
      <c r="C440" s="786"/>
      <c r="D440" s="797"/>
    </row>
    <row r="441" spans="1:11" s="785" customFormat="1">
      <c r="A441" s="787"/>
      <c r="B441" s="787"/>
      <c r="C441" s="786"/>
      <c r="D441" s="797"/>
    </row>
    <row r="442" spans="1:11" s="785" customFormat="1">
      <c r="C442" s="786"/>
      <c r="D442" s="10" t="s">
        <v>285</v>
      </c>
      <c r="E442" s="16"/>
      <c r="F442" s="5" t="s">
        <v>4116</v>
      </c>
    </row>
    <row r="443" spans="1:11" s="785" customFormat="1">
      <c r="C443" s="786"/>
      <c r="D443" s="15">
        <v>2016</v>
      </c>
      <c r="E443" s="16"/>
      <c r="F443" s="18" t="s">
        <v>286</v>
      </c>
    </row>
    <row r="444" spans="1:11" s="785" customFormat="1">
      <c r="A444" s="787" t="s">
        <v>15082</v>
      </c>
      <c r="C444" s="786"/>
      <c r="D444" s="788">
        <f t="shared" ref="D444" si="49">SUM(D445:D470)</f>
        <v>85795</v>
      </c>
    </row>
    <row r="445" spans="1:11" s="785" customFormat="1">
      <c r="A445" s="787" t="s">
        <v>812</v>
      </c>
      <c r="B445" s="787" t="s">
        <v>15083</v>
      </c>
      <c r="C445" s="292" t="s">
        <v>15084</v>
      </c>
      <c r="D445" s="293">
        <v>5261</v>
      </c>
      <c r="F445" s="787" t="s">
        <v>14586</v>
      </c>
      <c r="I445" s="292"/>
      <c r="K445" s="292"/>
    </row>
    <row r="446" spans="1:11" s="785" customFormat="1">
      <c r="A446" s="787" t="s">
        <v>813</v>
      </c>
      <c r="B446" s="787" t="s">
        <v>15085</v>
      </c>
      <c r="C446" s="292" t="s">
        <v>15086</v>
      </c>
      <c r="D446" s="293">
        <v>1130</v>
      </c>
      <c r="F446" s="787" t="s">
        <v>14586</v>
      </c>
      <c r="I446" s="292"/>
      <c r="K446" s="292"/>
    </row>
    <row r="447" spans="1:11" s="785" customFormat="1">
      <c r="A447" s="787" t="s">
        <v>814</v>
      </c>
      <c r="B447" s="787" t="s">
        <v>15087</v>
      </c>
      <c r="C447" s="292" t="s">
        <v>15088</v>
      </c>
      <c r="D447" s="293">
        <v>1740</v>
      </c>
      <c r="F447" s="787" t="s">
        <v>14586</v>
      </c>
      <c r="I447" s="292"/>
      <c r="K447" s="292"/>
    </row>
    <row r="448" spans="1:11" s="785" customFormat="1">
      <c r="A448" s="787" t="s">
        <v>815</v>
      </c>
      <c r="B448" s="787" t="s">
        <v>15089</v>
      </c>
      <c r="C448" s="292" t="s">
        <v>15090</v>
      </c>
      <c r="D448" s="293">
        <v>4252</v>
      </c>
      <c r="F448" s="785" t="s">
        <v>14585</v>
      </c>
      <c r="I448" s="292"/>
      <c r="K448" s="292"/>
    </row>
    <row r="449" spans="1:11" s="785" customFormat="1">
      <c r="A449" s="787" t="s">
        <v>816</v>
      </c>
      <c r="B449" s="787" t="s">
        <v>15091</v>
      </c>
      <c r="C449" s="292" t="s">
        <v>15092</v>
      </c>
      <c r="D449" s="293">
        <v>3251</v>
      </c>
      <c r="F449" s="785" t="s">
        <v>14585</v>
      </c>
      <c r="I449" s="292"/>
      <c r="K449" s="292"/>
    </row>
    <row r="450" spans="1:11" s="785" customFormat="1">
      <c r="A450" s="787" t="s">
        <v>826</v>
      </c>
      <c r="B450" s="787" t="s">
        <v>15093</v>
      </c>
      <c r="C450" s="292" t="s">
        <v>15094</v>
      </c>
      <c r="D450" s="293">
        <v>5757</v>
      </c>
      <c r="F450" s="787" t="s">
        <v>14586</v>
      </c>
      <c r="I450" s="292"/>
      <c r="K450" s="292"/>
    </row>
    <row r="451" spans="1:11" s="785" customFormat="1">
      <c r="A451" s="787" t="s">
        <v>827</v>
      </c>
      <c r="B451" s="787" t="s">
        <v>15095</v>
      </c>
      <c r="C451" s="292" t="s">
        <v>15096</v>
      </c>
      <c r="D451" s="293">
        <v>1682</v>
      </c>
      <c r="F451" s="787" t="s">
        <v>14586</v>
      </c>
      <c r="I451" s="292"/>
      <c r="K451" s="292"/>
    </row>
    <row r="452" spans="1:11" s="785" customFormat="1">
      <c r="A452" s="787" t="s">
        <v>828</v>
      </c>
      <c r="B452" s="787" t="s">
        <v>15097</v>
      </c>
      <c r="C452" s="292" t="s">
        <v>15098</v>
      </c>
      <c r="D452" s="293">
        <v>1575</v>
      </c>
      <c r="F452" s="787" t="s">
        <v>14586</v>
      </c>
      <c r="I452" s="292"/>
      <c r="K452" s="292"/>
    </row>
    <row r="453" spans="1:11" s="785" customFormat="1">
      <c r="A453" s="787" t="s">
        <v>829</v>
      </c>
      <c r="B453" s="787" t="s">
        <v>15099</v>
      </c>
      <c r="C453" s="292" t="s">
        <v>15100</v>
      </c>
      <c r="D453" s="293">
        <v>3475</v>
      </c>
      <c r="F453" s="787" t="s">
        <v>14586</v>
      </c>
      <c r="I453" s="292"/>
      <c r="K453" s="292"/>
    </row>
    <row r="454" spans="1:11" s="785" customFormat="1">
      <c r="A454" s="787" t="s">
        <v>830</v>
      </c>
      <c r="B454" s="787" t="s">
        <v>15101</v>
      </c>
      <c r="C454" s="292" t="s">
        <v>15102</v>
      </c>
      <c r="D454" s="295">
        <v>2716</v>
      </c>
      <c r="F454" s="787" t="s">
        <v>14586</v>
      </c>
      <c r="I454" s="292"/>
      <c r="K454" s="292"/>
    </row>
    <row r="455" spans="1:11" s="785" customFormat="1">
      <c r="A455" s="787" t="s">
        <v>831</v>
      </c>
      <c r="B455" s="787" t="s">
        <v>15103</v>
      </c>
      <c r="C455" s="292" t="s">
        <v>15104</v>
      </c>
      <c r="D455" s="295">
        <v>3044</v>
      </c>
      <c r="F455" s="787" t="s">
        <v>14586</v>
      </c>
      <c r="I455" s="292"/>
      <c r="K455" s="292"/>
    </row>
    <row r="456" spans="1:11" s="785" customFormat="1">
      <c r="A456" s="787" t="s">
        <v>832</v>
      </c>
      <c r="B456" s="787" t="s">
        <v>15105</v>
      </c>
      <c r="C456" s="292" t="s">
        <v>15106</v>
      </c>
      <c r="D456" s="293">
        <v>3107</v>
      </c>
      <c r="F456" s="787" t="s">
        <v>14586</v>
      </c>
      <c r="I456" s="292"/>
      <c r="K456" s="292"/>
    </row>
    <row r="457" spans="1:11" s="785" customFormat="1">
      <c r="A457" s="787" t="s">
        <v>833</v>
      </c>
      <c r="B457" s="787" t="s">
        <v>15107</v>
      </c>
      <c r="C457" s="292" t="s">
        <v>15108</v>
      </c>
      <c r="D457" s="295">
        <v>4618</v>
      </c>
      <c r="F457" s="787" t="s">
        <v>14586</v>
      </c>
      <c r="I457" s="292"/>
      <c r="K457" s="292"/>
    </row>
    <row r="458" spans="1:11" s="785" customFormat="1">
      <c r="A458" s="787" t="s">
        <v>834</v>
      </c>
      <c r="B458" s="787" t="s">
        <v>15109</v>
      </c>
      <c r="C458" s="292" t="s">
        <v>15110</v>
      </c>
      <c r="D458" s="295">
        <v>4557</v>
      </c>
      <c r="F458" s="787" t="s">
        <v>14586</v>
      </c>
      <c r="I458" s="292"/>
      <c r="K458" s="292"/>
    </row>
    <row r="459" spans="1:11" s="785" customFormat="1">
      <c r="A459" s="787" t="s">
        <v>835</v>
      </c>
      <c r="B459" s="787" t="s">
        <v>15111</v>
      </c>
      <c r="C459" s="292" t="s">
        <v>15112</v>
      </c>
      <c r="D459" s="295">
        <v>3935</v>
      </c>
      <c r="F459" s="787" t="s">
        <v>14586</v>
      </c>
      <c r="I459" s="292"/>
      <c r="K459" s="292"/>
    </row>
    <row r="460" spans="1:11" s="785" customFormat="1">
      <c r="A460" s="787" t="s">
        <v>836</v>
      </c>
      <c r="B460" s="787" t="s">
        <v>15113</v>
      </c>
      <c r="C460" s="292" t="s">
        <v>15114</v>
      </c>
      <c r="D460" s="295">
        <v>3365</v>
      </c>
      <c r="F460" s="787" t="s">
        <v>14586</v>
      </c>
      <c r="I460" s="292"/>
      <c r="K460" s="292"/>
    </row>
    <row r="461" spans="1:11" s="785" customFormat="1">
      <c r="A461" s="787" t="s">
        <v>837</v>
      </c>
      <c r="B461" s="787" t="s">
        <v>15115</v>
      </c>
      <c r="C461" s="292" t="s">
        <v>15116</v>
      </c>
      <c r="D461" s="295">
        <v>4433</v>
      </c>
      <c r="F461" s="787" t="s">
        <v>14586</v>
      </c>
      <c r="I461" s="292"/>
      <c r="K461" s="292"/>
    </row>
    <row r="462" spans="1:11" s="785" customFormat="1">
      <c r="A462" s="795">
        <v>18</v>
      </c>
      <c r="B462" s="787" t="s">
        <v>15117</v>
      </c>
      <c r="C462" s="292" t="s">
        <v>15118</v>
      </c>
      <c r="D462" s="295">
        <v>3899</v>
      </c>
      <c r="F462" s="787" t="s">
        <v>14586</v>
      </c>
      <c r="I462" s="292"/>
      <c r="K462" s="292"/>
    </row>
    <row r="463" spans="1:11" s="785" customFormat="1">
      <c r="A463" s="795">
        <v>19</v>
      </c>
      <c r="B463" s="787" t="s">
        <v>15119</v>
      </c>
      <c r="C463" s="292" t="s">
        <v>15120</v>
      </c>
      <c r="D463" s="293">
        <v>3074</v>
      </c>
      <c r="F463" s="787" t="s">
        <v>14586</v>
      </c>
      <c r="I463" s="292"/>
      <c r="K463" s="292"/>
    </row>
    <row r="464" spans="1:11" s="785" customFormat="1">
      <c r="A464" s="795">
        <v>20</v>
      </c>
      <c r="B464" s="787" t="s">
        <v>15121</v>
      </c>
      <c r="C464" s="292" t="s">
        <v>15122</v>
      </c>
      <c r="D464" s="295">
        <v>1329</v>
      </c>
      <c r="F464" s="787" t="s">
        <v>14586</v>
      </c>
      <c r="I464" s="292"/>
      <c r="K464" s="292"/>
    </row>
    <row r="465" spans="1:11" s="785" customFormat="1">
      <c r="A465" s="795">
        <v>21</v>
      </c>
      <c r="B465" s="787" t="s">
        <v>15123</v>
      </c>
      <c r="C465" s="292" t="s">
        <v>15124</v>
      </c>
      <c r="D465" s="293">
        <v>3394</v>
      </c>
      <c r="F465" s="787" t="s">
        <v>14586</v>
      </c>
      <c r="I465" s="292"/>
      <c r="K465" s="292"/>
    </row>
    <row r="466" spans="1:11" s="785" customFormat="1">
      <c r="A466" s="795">
        <v>22</v>
      </c>
      <c r="B466" s="787" t="s">
        <v>15125</v>
      </c>
      <c r="C466" s="292" t="s">
        <v>15126</v>
      </c>
      <c r="D466" s="295">
        <v>4869</v>
      </c>
      <c r="F466" s="787" t="s">
        <v>14586</v>
      </c>
      <c r="I466" s="292"/>
      <c r="K466" s="292"/>
    </row>
    <row r="467" spans="1:11" s="785" customFormat="1">
      <c r="A467" s="795">
        <v>23</v>
      </c>
      <c r="B467" s="787" t="s">
        <v>15127</v>
      </c>
      <c r="C467" s="292" t="s">
        <v>15128</v>
      </c>
      <c r="D467" s="293">
        <v>1588</v>
      </c>
      <c r="F467" s="787" t="s">
        <v>14586</v>
      </c>
      <c r="I467" s="292"/>
      <c r="K467" s="292"/>
    </row>
    <row r="468" spans="1:11" s="785" customFormat="1">
      <c r="A468" s="795">
        <v>24</v>
      </c>
      <c r="B468" s="787" t="s">
        <v>15129</v>
      </c>
      <c r="C468" s="292" t="s">
        <v>15130</v>
      </c>
      <c r="D468" s="293">
        <v>2209</v>
      </c>
      <c r="F468" s="787" t="s">
        <v>15131</v>
      </c>
      <c r="I468" s="292"/>
      <c r="K468" s="292"/>
    </row>
    <row r="469" spans="1:11" s="785" customFormat="1">
      <c r="A469" s="787" t="s">
        <v>722</v>
      </c>
      <c r="B469" s="787" t="s">
        <v>15132</v>
      </c>
      <c r="C469" s="292" t="s">
        <v>15133</v>
      </c>
      <c r="D469" s="293">
        <v>3163</v>
      </c>
      <c r="F469" s="787" t="s">
        <v>14586</v>
      </c>
      <c r="I469" s="292"/>
      <c r="K469" s="292"/>
    </row>
    <row r="470" spans="1:11" s="785" customFormat="1">
      <c r="A470" s="787" t="s">
        <v>723</v>
      </c>
      <c r="B470" s="787" t="s">
        <v>15134</v>
      </c>
      <c r="C470" s="292" t="s">
        <v>15135</v>
      </c>
      <c r="D470" s="295">
        <v>4372</v>
      </c>
      <c r="F470" s="787" t="s">
        <v>14586</v>
      </c>
      <c r="I470" s="292"/>
      <c r="K470" s="292"/>
    </row>
    <row r="471" spans="1:11" s="785" customFormat="1">
      <c r="D471" s="790"/>
      <c r="H471" s="786"/>
    </row>
    <row r="472" spans="1:11" s="785" customFormat="1">
      <c r="A472" s="787" t="s">
        <v>14855</v>
      </c>
      <c r="D472" s="790">
        <f>D468</f>
        <v>2209</v>
      </c>
      <c r="H472" s="786"/>
    </row>
    <row r="473" spans="1:11" s="785" customFormat="1">
      <c r="A473" s="785" t="s">
        <v>14822</v>
      </c>
      <c r="D473" s="790">
        <f>D448+D449</f>
        <v>7503</v>
      </c>
      <c r="H473" s="786"/>
    </row>
    <row r="474" spans="1:11" s="785" customFormat="1">
      <c r="A474" s="787" t="s">
        <v>14586</v>
      </c>
      <c r="D474" s="788">
        <f>SUM(D445:D447)+SUM(D450:D467)+D469+D470</f>
        <v>76083</v>
      </c>
      <c r="H474" s="786"/>
    </row>
    <row r="475" spans="1:11" s="785" customFormat="1">
      <c r="H475" s="786"/>
    </row>
    <row r="476" spans="1:11" s="785" customFormat="1">
      <c r="A476" s="785" t="s">
        <v>15136</v>
      </c>
      <c r="H476" s="786"/>
    </row>
  </sheetData>
  <printOptions gridLinesSet="0"/>
  <pageMargins left="0.78740157480314965" right="0" top="0.51181102362204722" bottom="0.51181102362204722" header="0.51181102362204722" footer="0.51181102362204722"/>
  <pageSetup paperSize="9" scale="44" orientation="portrait" horizontalDpi="300" verticalDpi="300" r:id="rId1"/>
  <headerFooter alignWithMargins="0">
    <oddFooter>&amp;C&amp;"Times New Roman,Regular"&amp;8&amp;P of &amp;N</oddFooter>
  </headerFooter>
  <rowBreaks count="12" manualBreakCount="12">
    <brk id="99" max="16383" man="1"/>
    <brk id="125" max="16383" man="1"/>
    <brk id="165" max="16383" man="1"/>
    <brk id="213" max="16383" man="1"/>
    <brk id="242" max="16383" man="1"/>
    <brk id="267" max="16383" man="1"/>
    <brk id="293" max="16383" man="1"/>
    <brk id="314" max="16383" man="1"/>
    <brk id="338" max="16383" man="1"/>
    <brk id="383" max="16383" man="1"/>
    <brk id="405" max="12" man="1"/>
    <brk id="440" max="1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38"/>
  <sheetViews>
    <sheetView showGridLines="0" zoomScaleNormal="100" workbookViewId="0"/>
  </sheetViews>
  <sheetFormatPr defaultColWidth="12.59765625" defaultRowHeight="14.5"/>
  <cols>
    <col min="1" max="1" width="4.8984375" style="514" customWidth="1"/>
    <col min="2" max="2" width="35.8984375" style="514" customWidth="1"/>
    <col min="3" max="3" width="11.59765625" style="514" customWidth="1"/>
    <col min="4" max="4" width="10" style="514" customWidth="1"/>
    <col min="5" max="5" width="2.296875" style="514" customWidth="1"/>
    <col min="6" max="6" width="26.69921875" style="514" customWidth="1"/>
    <col min="7" max="16384" width="12.59765625" style="514"/>
  </cols>
  <sheetData>
    <row r="1" spans="1:6">
      <c r="A1" s="513" t="s">
        <v>9176</v>
      </c>
      <c r="D1" s="515">
        <v>2016</v>
      </c>
    </row>
    <row r="3" spans="1:6">
      <c r="A3" s="513" t="s">
        <v>9766</v>
      </c>
      <c r="D3" s="516">
        <f t="shared" ref="D3" si="0">SUM(D17:D38)</f>
        <v>141270</v>
      </c>
    </row>
    <row r="5" spans="1:6">
      <c r="A5" s="513" t="s">
        <v>9607</v>
      </c>
      <c r="D5" s="517">
        <f>ENFIELD!D17</f>
        <v>7796</v>
      </c>
      <c r="F5" s="514" t="s">
        <v>9218</v>
      </c>
    </row>
    <row r="6" spans="1:6" ht="15" thickBot="1">
      <c r="D6" s="518">
        <f>D17+D18+D20+D21+SUM(D23:D26)+D35</f>
        <v>66622</v>
      </c>
      <c r="F6" s="513" t="s">
        <v>9608</v>
      </c>
    </row>
    <row r="7" spans="1:6" ht="15" thickBot="1">
      <c r="D7" s="519">
        <f>D5+D6</f>
        <v>74418</v>
      </c>
      <c r="F7" s="513"/>
    </row>
    <row r="8" spans="1:6">
      <c r="D8" s="517"/>
    </row>
    <row r="9" spans="1:6">
      <c r="A9" s="513" t="s">
        <v>9767</v>
      </c>
      <c r="D9" s="516">
        <f>D19+D22+SUM(D27:D34)</f>
        <v>74648</v>
      </c>
      <c r="F9" s="513" t="s">
        <v>9608</v>
      </c>
    </row>
    <row r="10" spans="1:6">
      <c r="D10" s="517"/>
    </row>
    <row r="11" spans="1:6">
      <c r="A11" s="513" t="s">
        <v>1041</v>
      </c>
      <c r="D11" s="516">
        <f t="shared" ref="D11" si="1">D6+D9</f>
        <v>141270</v>
      </c>
    </row>
    <row r="12" spans="1:6">
      <c r="D12" s="517"/>
    </row>
    <row r="13" spans="1:6">
      <c r="A13" s="513" t="s">
        <v>1042</v>
      </c>
      <c r="D13" s="516">
        <f t="shared" ref="D13" si="2">MAX(D6,D9)-MIN(D6,D9)</f>
        <v>8026</v>
      </c>
    </row>
    <row r="14" spans="1:6">
      <c r="D14" s="517"/>
    </row>
    <row r="15" spans="1:6">
      <c r="A15" s="513" t="s">
        <v>1045</v>
      </c>
      <c r="D15" s="516">
        <f t="shared" ref="D15" si="3">STDEVP(D6,D9)</f>
        <v>4013</v>
      </c>
    </row>
    <row r="16" spans="1:6">
      <c r="D16" s="517"/>
    </row>
    <row r="17" spans="1:11">
      <c r="A17" s="513" t="s">
        <v>812</v>
      </c>
      <c r="B17" s="513" t="s">
        <v>8895</v>
      </c>
      <c r="C17" s="292" t="s">
        <v>9768</v>
      </c>
      <c r="D17" s="293">
        <v>7473</v>
      </c>
      <c r="F17" s="513" t="s">
        <v>9607</v>
      </c>
      <c r="I17" s="292"/>
      <c r="K17" s="292"/>
    </row>
    <row r="18" spans="1:11">
      <c r="A18" s="513" t="s">
        <v>813</v>
      </c>
      <c r="B18" s="513" t="s">
        <v>9769</v>
      </c>
      <c r="C18" s="292" t="s">
        <v>9770</v>
      </c>
      <c r="D18" s="293">
        <v>7195</v>
      </c>
      <c r="F18" s="513" t="s">
        <v>9607</v>
      </c>
      <c r="I18" s="292"/>
      <c r="K18" s="292"/>
    </row>
    <row r="19" spans="1:11">
      <c r="A19" s="513" t="s">
        <v>814</v>
      </c>
      <c r="B19" s="513" t="s">
        <v>9771</v>
      </c>
      <c r="C19" s="292" t="s">
        <v>9772</v>
      </c>
      <c r="D19" s="293">
        <v>6953</v>
      </c>
      <c r="F19" s="513" t="s">
        <v>9767</v>
      </c>
      <c r="I19" s="292"/>
      <c r="K19" s="292"/>
    </row>
    <row r="20" spans="1:11">
      <c r="A20" s="513" t="s">
        <v>815</v>
      </c>
      <c r="B20" s="513" t="s">
        <v>9773</v>
      </c>
      <c r="C20" s="292" t="s">
        <v>9774</v>
      </c>
      <c r="D20" s="293">
        <v>8207</v>
      </c>
      <c r="F20" s="513" t="s">
        <v>9607</v>
      </c>
      <c r="I20" s="292"/>
      <c r="K20" s="292"/>
    </row>
    <row r="21" spans="1:11">
      <c r="A21" s="513" t="s">
        <v>816</v>
      </c>
      <c r="B21" s="513" t="s">
        <v>9775</v>
      </c>
      <c r="C21" s="292" t="s">
        <v>9776</v>
      </c>
      <c r="D21" s="293">
        <v>7735</v>
      </c>
      <c r="F21" s="513" t="s">
        <v>9607</v>
      </c>
      <c r="I21" s="292"/>
      <c r="K21" s="292"/>
    </row>
    <row r="22" spans="1:11">
      <c r="A22" s="513" t="s">
        <v>826</v>
      </c>
      <c r="B22" s="513" t="s">
        <v>9777</v>
      </c>
      <c r="C22" s="292" t="s">
        <v>9778</v>
      </c>
      <c r="D22" s="293">
        <v>6907</v>
      </c>
      <c r="F22" s="513" t="s">
        <v>9767</v>
      </c>
      <c r="I22" s="292"/>
      <c r="K22" s="292"/>
    </row>
    <row r="23" spans="1:11">
      <c r="A23" s="513" t="s">
        <v>827</v>
      </c>
      <c r="B23" s="513" t="s">
        <v>9431</v>
      </c>
      <c r="C23" s="292" t="s">
        <v>9779</v>
      </c>
      <c r="D23" s="293">
        <v>7150</v>
      </c>
      <c r="F23" s="513" t="s">
        <v>9607</v>
      </c>
      <c r="I23" s="292"/>
      <c r="K23" s="292"/>
    </row>
    <row r="24" spans="1:11">
      <c r="A24" s="513" t="s">
        <v>828</v>
      </c>
      <c r="B24" s="513" t="s">
        <v>9780</v>
      </c>
      <c r="C24" s="292" t="s">
        <v>9781</v>
      </c>
      <c r="D24" s="293">
        <v>7880</v>
      </c>
      <c r="F24" s="513" t="s">
        <v>9607</v>
      </c>
      <c r="I24" s="292"/>
      <c r="K24" s="292"/>
    </row>
    <row r="25" spans="1:11">
      <c r="A25" s="513" t="s">
        <v>829</v>
      </c>
      <c r="B25" s="513" t="s">
        <v>9782</v>
      </c>
      <c r="C25" s="292" t="s">
        <v>9783</v>
      </c>
      <c r="D25" s="293">
        <v>7049</v>
      </c>
      <c r="F25" s="513" t="s">
        <v>9607</v>
      </c>
      <c r="I25" s="292"/>
      <c r="K25" s="292"/>
    </row>
    <row r="26" spans="1:11">
      <c r="A26" s="513" t="s">
        <v>830</v>
      </c>
      <c r="B26" s="513" t="s">
        <v>9784</v>
      </c>
      <c r="C26" s="292" t="s">
        <v>9785</v>
      </c>
      <c r="D26" s="293">
        <v>7078</v>
      </c>
      <c r="F26" s="513" t="s">
        <v>9607</v>
      </c>
      <c r="I26" s="292"/>
      <c r="K26" s="292"/>
    </row>
    <row r="27" spans="1:11">
      <c r="A27" s="513" t="s">
        <v>831</v>
      </c>
      <c r="B27" s="513" t="s">
        <v>9786</v>
      </c>
      <c r="C27" s="292" t="s">
        <v>9787</v>
      </c>
      <c r="D27" s="293">
        <v>7143</v>
      </c>
      <c r="F27" s="513" t="s">
        <v>9767</v>
      </c>
      <c r="I27" s="292"/>
      <c r="K27" s="292"/>
    </row>
    <row r="28" spans="1:11">
      <c r="A28" s="513" t="s">
        <v>832</v>
      </c>
      <c r="B28" s="513" t="s">
        <v>5648</v>
      </c>
      <c r="C28" s="292" t="s">
        <v>9788</v>
      </c>
      <c r="D28" s="293">
        <v>7006</v>
      </c>
      <c r="F28" s="513" t="s">
        <v>9767</v>
      </c>
      <c r="I28" s="292"/>
      <c r="K28" s="292"/>
    </row>
    <row r="29" spans="1:11">
      <c r="A29" s="513" t="s">
        <v>833</v>
      </c>
      <c r="B29" s="513" t="s">
        <v>9789</v>
      </c>
      <c r="C29" s="292" t="s">
        <v>9790</v>
      </c>
      <c r="D29" s="293">
        <v>8276</v>
      </c>
      <c r="F29" s="513" t="s">
        <v>9767</v>
      </c>
      <c r="I29" s="292"/>
      <c r="K29" s="292"/>
    </row>
    <row r="30" spans="1:11">
      <c r="A30" s="513" t="s">
        <v>834</v>
      </c>
      <c r="B30" s="513" t="s">
        <v>9791</v>
      </c>
      <c r="C30" s="292" t="s">
        <v>9792</v>
      </c>
      <c r="D30" s="293">
        <v>8019</v>
      </c>
      <c r="F30" s="513" t="s">
        <v>9767</v>
      </c>
      <c r="I30" s="292"/>
      <c r="K30" s="292"/>
    </row>
    <row r="31" spans="1:11">
      <c r="A31" s="513" t="s">
        <v>835</v>
      </c>
      <c r="B31" s="513" t="s">
        <v>9793</v>
      </c>
      <c r="C31" s="292" t="s">
        <v>9794</v>
      </c>
      <c r="D31" s="295">
        <v>7729</v>
      </c>
      <c r="F31" s="513" t="s">
        <v>9767</v>
      </c>
      <c r="I31" s="292"/>
      <c r="K31" s="292"/>
    </row>
    <row r="32" spans="1:11">
      <c r="A32" s="513" t="s">
        <v>836</v>
      </c>
      <c r="B32" s="513" t="s">
        <v>9795</v>
      </c>
      <c r="C32" s="292" t="s">
        <v>9796</v>
      </c>
      <c r="D32" s="295">
        <v>8091</v>
      </c>
      <c r="F32" s="513" t="s">
        <v>9767</v>
      </c>
      <c r="I32" s="292"/>
      <c r="K32" s="292"/>
    </row>
    <row r="33" spans="1:11">
      <c r="A33" s="513" t="s">
        <v>837</v>
      </c>
      <c r="B33" s="513" t="s">
        <v>9797</v>
      </c>
      <c r="C33" s="292" t="s">
        <v>9798</v>
      </c>
      <c r="D33" s="295">
        <v>7135</v>
      </c>
      <c r="F33" s="513" t="s">
        <v>9767</v>
      </c>
      <c r="I33" s="292"/>
      <c r="K33" s="292"/>
    </row>
    <row r="34" spans="1:11">
      <c r="A34" s="513" t="s">
        <v>838</v>
      </c>
      <c r="B34" s="513" t="s">
        <v>9799</v>
      </c>
      <c r="C34" s="292" t="s">
        <v>9800</v>
      </c>
      <c r="D34" s="295">
        <v>7389</v>
      </c>
      <c r="F34" s="513" t="s">
        <v>9767</v>
      </c>
      <c r="I34" s="292"/>
      <c r="K34" s="292"/>
    </row>
    <row r="35" spans="1:11">
      <c r="A35" s="513" t="s">
        <v>840</v>
      </c>
      <c r="B35" s="513" t="s">
        <v>2691</v>
      </c>
      <c r="C35" s="292" t="s">
        <v>9801</v>
      </c>
      <c r="D35" s="293">
        <v>6855</v>
      </c>
      <c r="F35" s="513" t="s">
        <v>9607</v>
      </c>
      <c r="I35" s="292"/>
      <c r="K35" s="292"/>
    </row>
    <row r="36" spans="1:11">
      <c r="A36" s="513"/>
      <c r="B36" s="513"/>
      <c r="C36" s="513"/>
      <c r="D36" s="516"/>
      <c r="F36" s="513"/>
    </row>
    <row r="37" spans="1:11">
      <c r="A37" s="513" t="s">
        <v>9802</v>
      </c>
      <c r="B37" s="513"/>
      <c r="C37" s="513"/>
      <c r="D37" s="516"/>
      <c r="F37" s="513"/>
    </row>
    <row r="38" spans="1:11">
      <c r="A38" s="513"/>
      <c r="B38" s="513"/>
      <c r="C38" s="513"/>
      <c r="D38" s="516"/>
      <c r="F38" s="513"/>
    </row>
  </sheetData>
  <printOptions gridLinesSet="0"/>
  <pageMargins left="0.78740157480314965" right="0" top="0.51181102362204722" bottom="0.51181102362204722" header="0.51181102362204722" footer="0.51181102362204722"/>
  <pageSetup paperSize="9" scale="80" orientation="portrait" horizontalDpi="300" verticalDpi="300" r:id="rId1"/>
  <headerFooter alignWithMargins="0">
    <oddFooter>&amp;C&amp;"Times New Roman,Regular"&amp;8&amp;P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3"/>
  <sheetViews>
    <sheetView showGridLines="0" zoomScaleNormal="100" workbookViewId="0"/>
  </sheetViews>
  <sheetFormatPr defaultColWidth="12.59765625" defaultRowHeight="14.5"/>
  <cols>
    <col min="1" max="1" width="4.8984375" style="521" customWidth="1"/>
    <col min="2" max="2" width="35.69921875" style="521" customWidth="1"/>
    <col min="3" max="3" width="11.59765625" style="521" customWidth="1"/>
    <col min="4" max="4" width="10" style="521" customWidth="1"/>
    <col min="5" max="5" width="2.296875" style="521" customWidth="1"/>
    <col min="6" max="6" width="28.59765625" style="521" customWidth="1"/>
    <col min="7" max="16384" width="12.59765625" style="521"/>
  </cols>
  <sheetData>
    <row r="1" spans="1:6">
      <c r="A1" s="520" t="s">
        <v>9176</v>
      </c>
      <c r="D1" s="522">
        <v>2016</v>
      </c>
    </row>
    <row r="3" spans="1:6">
      <c r="A3" s="520" t="s">
        <v>9803</v>
      </c>
      <c r="D3" s="523">
        <f t="shared" ref="D3" si="0">SUM(D21:D41)</f>
        <v>161123</v>
      </c>
    </row>
    <row r="5" spans="1:6">
      <c r="A5" s="520" t="s">
        <v>9804</v>
      </c>
      <c r="D5" s="523">
        <f>D22+D24+SUM(D26:D29)+D32+SUM(D39:D41)</f>
        <v>77624</v>
      </c>
      <c r="F5" s="520" t="s">
        <v>9311</v>
      </c>
    </row>
    <row r="6" spans="1:6">
      <c r="D6" s="524"/>
    </row>
    <row r="7" spans="1:6">
      <c r="A7" s="520" t="s">
        <v>9309</v>
      </c>
      <c r="D7" s="524">
        <f>BRENT!D5</f>
        <v>36256</v>
      </c>
      <c r="F7" s="521" t="s">
        <v>9310</v>
      </c>
    </row>
    <row r="8" spans="1:6" ht="15" thickBot="1">
      <c r="D8" s="523">
        <f>D21+D23+D30+D31+D35</f>
        <v>37466</v>
      </c>
      <c r="F8" s="520" t="s">
        <v>9311</v>
      </c>
    </row>
    <row r="9" spans="1:6" ht="15" thickBot="1">
      <c r="A9" s="520"/>
      <c r="D9" s="525">
        <f t="shared" ref="D9" si="1">D7+D8</f>
        <v>73722</v>
      </c>
      <c r="F9" s="520"/>
    </row>
    <row r="10" spans="1:6">
      <c r="A10" s="520"/>
      <c r="D10" s="523"/>
      <c r="F10" s="520"/>
    </row>
    <row r="11" spans="1:6">
      <c r="A11" s="521" t="s">
        <v>9805</v>
      </c>
      <c r="D11" s="523">
        <f>D33+D34+D36</f>
        <v>23166</v>
      </c>
      <c r="F11" s="520" t="s">
        <v>9311</v>
      </c>
    </row>
    <row r="12" spans="1:6" ht="15" thickBot="1">
      <c r="D12" s="523">
        <f>HILLINGDON!D12</f>
        <v>50871</v>
      </c>
      <c r="F12" s="520" t="s">
        <v>9557</v>
      </c>
    </row>
    <row r="13" spans="1:6" ht="15" thickBot="1">
      <c r="A13" s="520"/>
      <c r="D13" s="525">
        <f t="shared" ref="D13" si="2">D11+D12</f>
        <v>74037</v>
      </c>
      <c r="F13" s="520"/>
    </row>
    <row r="14" spans="1:6">
      <c r="A14" s="520"/>
      <c r="D14" s="523"/>
      <c r="F14" s="520"/>
    </row>
    <row r="15" spans="1:6">
      <c r="A15" s="521" t="s">
        <v>9806</v>
      </c>
      <c r="D15" s="524">
        <f>BRENT!D13</f>
        <v>54648</v>
      </c>
      <c r="F15" s="520" t="s">
        <v>9310</v>
      </c>
    </row>
    <row r="16" spans="1:6" ht="15" thickBot="1">
      <c r="D16" s="526">
        <f>D25+D37+D38</f>
        <v>22867</v>
      </c>
      <c r="F16" s="520" t="s">
        <v>9311</v>
      </c>
    </row>
    <row r="17" spans="1:11" ht="15" thickBot="1">
      <c r="D17" s="525">
        <f t="shared" ref="D17" si="3">D15+D16</f>
        <v>77515</v>
      </c>
    </row>
    <row r="18" spans="1:11">
      <c r="D18" s="524"/>
    </row>
    <row r="19" spans="1:11">
      <c r="A19" s="520" t="s">
        <v>1041</v>
      </c>
      <c r="D19" s="523">
        <f>D5+D8+D11+D16</f>
        <v>161123</v>
      </c>
    </row>
    <row r="20" spans="1:11">
      <c r="D20" s="524"/>
    </row>
    <row r="21" spans="1:11">
      <c r="A21" s="520" t="s">
        <v>812</v>
      </c>
      <c r="B21" s="520" t="s">
        <v>5184</v>
      </c>
      <c r="C21" s="292" t="s">
        <v>9807</v>
      </c>
      <c r="D21" s="293">
        <v>7695</v>
      </c>
      <c r="F21" s="520" t="s">
        <v>9309</v>
      </c>
      <c r="I21" s="292"/>
      <c r="K21" s="292"/>
    </row>
    <row r="22" spans="1:11">
      <c r="A22" s="520" t="s">
        <v>813</v>
      </c>
      <c r="B22" s="520" t="s">
        <v>9808</v>
      </c>
      <c r="C22" s="292" t="s">
        <v>9809</v>
      </c>
      <c r="D22" s="293">
        <v>9272</v>
      </c>
      <c r="F22" s="520" t="s">
        <v>9804</v>
      </c>
      <c r="I22" s="292"/>
      <c r="K22" s="292"/>
    </row>
    <row r="23" spans="1:11">
      <c r="A23" s="520" t="s">
        <v>814</v>
      </c>
      <c r="B23" s="520" t="s">
        <v>9237</v>
      </c>
      <c r="C23" s="292" t="s">
        <v>9810</v>
      </c>
      <c r="D23" s="293">
        <v>7014</v>
      </c>
      <c r="F23" s="520" t="s">
        <v>9309</v>
      </c>
      <c r="I23" s="292"/>
      <c r="K23" s="292"/>
    </row>
    <row r="24" spans="1:11">
      <c r="A24" s="520" t="s">
        <v>815</v>
      </c>
      <c r="B24" s="520" t="s">
        <v>4882</v>
      </c>
      <c r="C24" s="292" t="s">
        <v>9811</v>
      </c>
      <c r="D24" s="293">
        <v>7343</v>
      </c>
      <c r="F24" s="520" t="s">
        <v>9804</v>
      </c>
      <c r="I24" s="292"/>
      <c r="K24" s="292"/>
    </row>
    <row r="25" spans="1:11">
      <c r="A25" s="520" t="s">
        <v>816</v>
      </c>
      <c r="B25" s="520" t="s">
        <v>9812</v>
      </c>
      <c r="C25" s="292" t="s">
        <v>9813</v>
      </c>
      <c r="D25" s="293">
        <v>7357</v>
      </c>
      <c r="F25" s="521" t="s">
        <v>9806</v>
      </c>
      <c r="I25" s="292"/>
      <c r="K25" s="292"/>
    </row>
    <row r="26" spans="1:11">
      <c r="A26" s="520" t="s">
        <v>826</v>
      </c>
      <c r="B26" s="520" t="s">
        <v>9814</v>
      </c>
      <c r="C26" s="292" t="s">
        <v>9815</v>
      </c>
      <c r="D26" s="293">
        <v>7968</v>
      </c>
      <c r="F26" s="520" t="s">
        <v>9804</v>
      </c>
      <c r="I26" s="292"/>
      <c r="K26" s="292"/>
    </row>
    <row r="27" spans="1:11">
      <c r="A27" s="520" t="s">
        <v>827</v>
      </c>
      <c r="B27" s="520" t="s">
        <v>9816</v>
      </c>
      <c r="C27" s="292" t="s">
        <v>9817</v>
      </c>
      <c r="D27" s="295">
        <v>8207</v>
      </c>
      <c r="F27" s="520" t="s">
        <v>9804</v>
      </c>
      <c r="I27" s="292"/>
      <c r="K27" s="292"/>
    </row>
    <row r="28" spans="1:11">
      <c r="A28" s="520" t="s">
        <v>828</v>
      </c>
      <c r="B28" s="520" t="s">
        <v>9818</v>
      </c>
      <c r="C28" s="292" t="s">
        <v>9819</v>
      </c>
      <c r="D28" s="293">
        <v>7593</v>
      </c>
      <c r="F28" s="520" t="s">
        <v>9804</v>
      </c>
      <c r="I28" s="292"/>
      <c r="K28" s="292"/>
    </row>
    <row r="29" spans="1:11">
      <c r="A29" s="520" t="s">
        <v>829</v>
      </c>
      <c r="B29" s="520" t="s">
        <v>9820</v>
      </c>
      <c r="C29" s="292" t="s">
        <v>9821</v>
      </c>
      <c r="D29" s="293">
        <v>7445</v>
      </c>
      <c r="F29" s="520" t="s">
        <v>9804</v>
      </c>
      <c r="I29" s="292"/>
      <c r="K29" s="292"/>
    </row>
    <row r="30" spans="1:11">
      <c r="A30" s="520" t="s">
        <v>830</v>
      </c>
      <c r="B30" s="520" t="s">
        <v>9822</v>
      </c>
      <c r="C30" s="292" t="s">
        <v>9823</v>
      </c>
      <c r="D30" s="293">
        <v>7329</v>
      </c>
      <c r="F30" s="520" t="s">
        <v>9309</v>
      </c>
      <c r="I30" s="292"/>
      <c r="K30" s="292"/>
    </row>
    <row r="31" spans="1:11">
      <c r="A31" s="520" t="s">
        <v>831</v>
      </c>
      <c r="B31" s="520" t="s">
        <v>9824</v>
      </c>
      <c r="C31" s="292" t="s">
        <v>9825</v>
      </c>
      <c r="D31" s="293">
        <v>8036</v>
      </c>
      <c r="F31" s="520" t="s">
        <v>9309</v>
      </c>
      <c r="I31" s="292"/>
      <c r="K31" s="292"/>
    </row>
    <row r="32" spans="1:11">
      <c r="A32" s="520" t="s">
        <v>832</v>
      </c>
      <c r="B32" s="520" t="s">
        <v>9826</v>
      </c>
      <c r="C32" s="292" t="s">
        <v>9827</v>
      </c>
      <c r="D32" s="293">
        <v>7523</v>
      </c>
      <c r="F32" s="520" t="s">
        <v>9804</v>
      </c>
      <c r="I32" s="292"/>
      <c r="K32" s="292"/>
    </row>
    <row r="33" spans="1:11">
      <c r="A33" s="520" t="s">
        <v>833</v>
      </c>
      <c r="B33" s="520" t="s">
        <v>9828</v>
      </c>
      <c r="C33" s="292" t="s">
        <v>9829</v>
      </c>
      <c r="D33" s="295">
        <v>7825</v>
      </c>
      <c r="F33" s="521" t="s">
        <v>9805</v>
      </c>
      <c r="I33" s="292"/>
      <c r="K33" s="292"/>
    </row>
    <row r="34" spans="1:11">
      <c r="A34" s="520" t="s">
        <v>834</v>
      </c>
      <c r="B34" s="520" t="s">
        <v>9830</v>
      </c>
      <c r="C34" s="292" t="s">
        <v>9831</v>
      </c>
      <c r="D34" s="295">
        <v>7802</v>
      </c>
      <c r="F34" s="521" t="s">
        <v>9805</v>
      </c>
      <c r="I34" s="292"/>
      <c r="K34" s="292"/>
    </row>
    <row r="35" spans="1:11">
      <c r="A35" s="520" t="s">
        <v>835</v>
      </c>
      <c r="B35" s="520" t="s">
        <v>9342</v>
      </c>
      <c r="C35" s="292" t="s">
        <v>9832</v>
      </c>
      <c r="D35" s="293">
        <v>7392</v>
      </c>
      <c r="F35" s="520" t="s">
        <v>9309</v>
      </c>
      <c r="I35" s="292"/>
      <c r="K35" s="292"/>
    </row>
    <row r="36" spans="1:11">
      <c r="A36" s="520" t="s">
        <v>836</v>
      </c>
      <c r="B36" s="520" t="s">
        <v>9833</v>
      </c>
      <c r="C36" s="292" t="s">
        <v>9834</v>
      </c>
      <c r="D36" s="293">
        <v>7539</v>
      </c>
      <c r="F36" s="521" t="s">
        <v>9805</v>
      </c>
      <c r="I36" s="292"/>
      <c r="K36" s="292"/>
    </row>
    <row r="37" spans="1:11">
      <c r="A37" s="520" t="s">
        <v>837</v>
      </c>
      <c r="B37" s="520" t="s">
        <v>9835</v>
      </c>
      <c r="C37" s="292" t="s">
        <v>9836</v>
      </c>
      <c r="D37" s="295">
        <v>8078</v>
      </c>
      <c r="F37" s="521" t="s">
        <v>9806</v>
      </c>
      <c r="I37" s="292"/>
      <c r="K37" s="292"/>
    </row>
    <row r="38" spans="1:11">
      <c r="A38" s="520" t="s">
        <v>838</v>
      </c>
      <c r="B38" s="520" t="s">
        <v>9837</v>
      </c>
      <c r="C38" s="292" t="s">
        <v>9838</v>
      </c>
      <c r="D38" s="295">
        <v>7432</v>
      </c>
      <c r="F38" s="520" t="s">
        <v>9806</v>
      </c>
      <c r="I38" s="292"/>
      <c r="K38" s="292"/>
    </row>
    <row r="39" spans="1:11">
      <c r="A39" s="520" t="s">
        <v>840</v>
      </c>
      <c r="B39" s="520" t="s">
        <v>9839</v>
      </c>
      <c r="C39" s="292" t="s">
        <v>9840</v>
      </c>
      <c r="D39" s="293">
        <v>8349</v>
      </c>
      <c r="F39" s="520" t="s">
        <v>9804</v>
      </c>
      <c r="I39" s="292"/>
      <c r="K39" s="292"/>
    </row>
    <row r="40" spans="1:11">
      <c r="A40" s="520" t="s">
        <v>841</v>
      </c>
      <c r="B40" s="520" t="s">
        <v>9841</v>
      </c>
      <c r="C40" s="292" t="s">
        <v>9842</v>
      </c>
      <c r="D40" s="293">
        <v>6809</v>
      </c>
      <c r="F40" s="520" t="s">
        <v>9804</v>
      </c>
      <c r="I40" s="292"/>
      <c r="K40" s="292"/>
    </row>
    <row r="41" spans="1:11">
      <c r="A41" s="520" t="s">
        <v>878</v>
      </c>
      <c r="B41" s="520" t="s">
        <v>9843</v>
      </c>
      <c r="C41" s="292" t="s">
        <v>9844</v>
      </c>
      <c r="D41" s="295">
        <v>7115</v>
      </c>
      <c r="F41" s="520" t="s">
        <v>9804</v>
      </c>
      <c r="I41" s="292"/>
      <c r="K41" s="292"/>
    </row>
    <row r="43" spans="1:11">
      <c r="A43" s="521" t="s">
        <v>9845</v>
      </c>
    </row>
  </sheetData>
  <printOptions gridLinesSet="0"/>
  <pageMargins left="0.78740157480314965" right="0" top="0.51181102362204722" bottom="0.51181102362204722" header="0.51181102362204722" footer="0.51181102362204722"/>
  <pageSetup paperSize="9" scale="79" orientation="portrait" horizontalDpi="300" verticalDpi="300" r:id="rId1"/>
  <headerFooter alignWithMargins="0">
    <oddFooter>&amp;C&amp;"Times New Roman,Regular"&amp;8&amp;P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6"/>
  <sheetViews>
    <sheetView showGridLines="0" zoomScaleNormal="100" workbookViewId="0"/>
  </sheetViews>
  <sheetFormatPr defaultColWidth="12.59765625" defaultRowHeight="14.5"/>
  <cols>
    <col min="1" max="1" width="4.8984375" style="528" customWidth="1"/>
    <col min="2" max="2" width="35.8984375" style="528" customWidth="1"/>
    <col min="3" max="3" width="11.59765625" style="528" customWidth="1"/>
    <col min="4" max="4" width="10" style="528" customWidth="1"/>
    <col min="5" max="5" width="2.296875" style="528" customWidth="1"/>
    <col min="6" max="6" width="30.69921875" style="528" customWidth="1"/>
    <col min="7" max="16384" width="12.59765625" style="528"/>
  </cols>
  <sheetData>
    <row r="1" spans="1:6">
      <c r="A1" s="527" t="s">
        <v>9176</v>
      </c>
      <c r="D1" s="529">
        <v>2016</v>
      </c>
    </row>
    <row r="3" spans="1:6">
      <c r="A3" s="527" t="s">
        <v>9846</v>
      </c>
      <c r="D3" s="530">
        <f t="shared" ref="D3" si="0">SUM(D17:D34)</f>
        <v>177400</v>
      </c>
    </row>
    <row r="5" spans="1:6">
      <c r="A5" s="527" t="s">
        <v>9847</v>
      </c>
      <c r="D5" s="530">
        <f>D18+SUM(D20:D23)+D25+D31+D34</f>
        <v>78064</v>
      </c>
      <c r="F5" s="527" t="s">
        <v>9182</v>
      </c>
    </row>
    <row r="6" spans="1:6">
      <c r="D6" s="531"/>
    </row>
    <row r="7" spans="1:6">
      <c r="A7" s="527" t="s">
        <v>9183</v>
      </c>
      <c r="D7" s="531">
        <f>BARKING!D13</f>
        <v>7226</v>
      </c>
      <c r="F7" s="528" t="s">
        <v>9179</v>
      </c>
    </row>
    <row r="8" spans="1:6" ht="15" thickBot="1">
      <c r="D8" s="530">
        <f>D17+D24+SUM(D26:D28)+D30+D33</f>
        <v>70953</v>
      </c>
      <c r="F8" s="527" t="s">
        <v>9182</v>
      </c>
    </row>
    <row r="9" spans="1:6" ht="15" thickBot="1">
      <c r="A9" s="527"/>
      <c r="D9" s="532">
        <f t="shared" ref="D9" si="1">D7+D8</f>
        <v>78179</v>
      </c>
      <c r="F9" s="527"/>
    </row>
    <row r="10" spans="1:6">
      <c r="D10" s="531"/>
    </row>
    <row r="11" spans="1:6">
      <c r="A11" s="527" t="s">
        <v>9181</v>
      </c>
      <c r="D11" s="531">
        <f>BARKING!D9</f>
        <v>44630</v>
      </c>
      <c r="F11" s="528" t="s">
        <v>9179</v>
      </c>
    </row>
    <row r="12" spans="1:6" ht="15" thickBot="1">
      <c r="A12" s="527"/>
      <c r="D12" s="533">
        <f t="shared" ref="D12" si="2">D19+D29+D32</f>
        <v>28383</v>
      </c>
      <c r="F12" s="527" t="s">
        <v>9182</v>
      </c>
    </row>
    <row r="13" spans="1:6" ht="15" thickBot="1">
      <c r="A13" s="527"/>
      <c r="D13" s="532">
        <f t="shared" ref="D13" si="3">D11+D12</f>
        <v>73013</v>
      </c>
      <c r="F13" s="527"/>
    </row>
    <row r="14" spans="1:6">
      <c r="D14" s="531"/>
    </row>
    <row r="15" spans="1:6">
      <c r="A15" s="527" t="s">
        <v>1041</v>
      </c>
      <c r="D15" s="530">
        <f t="shared" ref="D15" si="4">D5+D8+D12</f>
        <v>177400</v>
      </c>
    </row>
    <row r="16" spans="1:6">
      <c r="D16" s="531"/>
    </row>
    <row r="17" spans="1:10">
      <c r="A17" s="527" t="s">
        <v>812</v>
      </c>
      <c r="B17" s="527" t="s">
        <v>9848</v>
      </c>
      <c r="C17" s="292" t="s">
        <v>9849</v>
      </c>
      <c r="D17" s="293">
        <v>10698</v>
      </c>
      <c r="F17" s="527" t="s">
        <v>9183</v>
      </c>
      <c r="H17" s="292"/>
      <c r="J17" s="292"/>
    </row>
    <row r="18" spans="1:10">
      <c r="A18" s="527" t="s">
        <v>813</v>
      </c>
      <c r="B18" s="527" t="s">
        <v>9850</v>
      </c>
      <c r="C18" s="292" t="s">
        <v>9851</v>
      </c>
      <c r="D18" s="293">
        <v>9798</v>
      </c>
      <c r="F18" s="527" t="s">
        <v>9847</v>
      </c>
      <c r="H18" s="292"/>
      <c r="J18" s="292"/>
    </row>
    <row r="19" spans="1:10">
      <c r="A19" s="527" t="s">
        <v>814</v>
      </c>
      <c r="B19" s="527" t="s">
        <v>9852</v>
      </c>
      <c r="C19" s="292" t="s">
        <v>9853</v>
      </c>
      <c r="D19" s="293">
        <v>9506</v>
      </c>
      <c r="F19" s="527" t="s">
        <v>9181</v>
      </c>
      <c r="H19" s="292"/>
      <c r="J19" s="292"/>
    </row>
    <row r="20" spans="1:10">
      <c r="A20" s="527" t="s">
        <v>815</v>
      </c>
      <c r="B20" s="527" t="s">
        <v>9854</v>
      </c>
      <c r="C20" s="292" t="s">
        <v>9855</v>
      </c>
      <c r="D20" s="293">
        <v>9467</v>
      </c>
      <c r="F20" s="527" t="s">
        <v>9847</v>
      </c>
      <c r="H20" s="292"/>
      <c r="J20" s="292"/>
    </row>
    <row r="21" spans="1:10">
      <c r="A21" s="527" t="s">
        <v>816</v>
      </c>
      <c r="B21" s="527" t="s">
        <v>9856</v>
      </c>
      <c r="C21" s="292" t="s">
        <v>9857</v>
      </c>
      <c r="D21" s="293">
        <v>9899</v>
      </c>
      <c r="F21" s="527" t="s">
        <v>9847</v>
      </c>
      <c r="H21" s="292"/>
      <c r="J21" s="292"/>
    </row>
    <row r="22" spans="1:10">
      <c r="A22" s="527" t="s">
        <v>826</v>
      </c>
      <c r="B22" s="527" t="s">
        <v>9858</v>
      </c>
      <c r="C22" s="292" t="s">
        <v>9859</v>
      </c>
      <c r="D22" s="293">
        <v>9635</v>
      </c>
      <c r="F22" s="527" t="s">
        <v>9847</v>
      </c>
      <c r="H22" s="292"/>
      <c r="J22" s="292"/>
    </row>
    <row r="23" spans="1:10">
      <c r="A23" s="527" t="s">
        <v>827</v>
      </c>
      <c r="B23" s="527" t="s">
        <v>9860</v>
      </c>
      <c r="C23" s="292" t="s">
        <v>9861</v>
      </c>
      <c r="D23" s="293">
        <v>9687</v>
      </c>
      <c r="F23" s="527" t="s">
        <v>9847</v>
      </c>
      <c r="H23" s="292"/>
      <c r="J23" s="292"/>
    </row>
    <row r="24" spans="1:10">
      <c r="A24" s="527" t="s">
        <v>828</v>
      </c>
      <c r="B24" s="527" t="s">
        <v>9862</v>
      </c>
      <c r="C24" s="292" t="s">
        <v>9863</v>
      </c>
      <c r="D24" s="293">
        <v>9408</v>
      </c>
      <c r="F24" s="527" t="s">
        <v>9183</v>
      </c>
      <c r="H24" s="292"/>
      <c r="J24" s="292"/>
    </row>
    <row r="25" spans="1:10">
      <c r="A25" s="527" t="s">
        <v>829</v>
      </c>
      <c r="B25" s="527" t="s">
        <v>9864</v>
      </c>
      <c r="C25" s="292" t="s">
        <v>9865</v>
      </c>
      <c r="D25" s="293">
        <v>8987</v>
      </c>
      <c r="F25" s="527" t="s">
        <v>9847</v>
      </c>
      <c r="H25" s="292"/>
      <c r="J25" s="292"/>
    </row>
    <row r="26" spans="1:10">
      <c r="A26" s="527" t="s">
        <v>830</v>
      </c>
      <c r="B26" s="527" t="s">
        <v>9866</v>
      </c>
      <c r="C26" s="292" t="s">
        <v>9867</v>
      </c>
      <c r="D26" s="293">
        <v>10250</v>
      </c>
      <c r="F26" s="527" t="s">
        <v>9183</v>
      </c>
      <c r="H26" s="292"/>
      <c r="J26" s="292"/>
    </row>
    <row r="27" spans="1:10">
      <c r="A27" s="527" t="s">
        <v>831</v>
      </c>
      <c r="B27" s="527" t="s">
        <v>9868</v>
      </c>
      <c r="C27" s="292" t="s">
        <v>9869</v>
      </c>
      <c r="D27" s="293">
        <v>9352</v>
      </c>
      <c r="F27" s="527" t="s">
        <v>9183</v>
      </c>
      <c r="H27" s="292"/>
      <c r="J27" s="292"/>
    </row>
    <row r="28" spans="1:10">
      <c r="A28" s="527" t="s">
        <v>832</v>
      </c>
      <c r="B28" s="527" t="s">
        <v>9870</v>
      </c>
      <c r="C28" s="292" t="s">
        <v>9871</v>
      </c>
      <c r="D28" s="295">
        <v>10187</v>
      </c>
      <c r="F28" s="527" t="s">
        <v>9183</v>
      </c>
      <c r="H28" s="292"/>
      <c r="J28" s="292"/>
    </row>
    <row r="29" spans="1:10">
      <c r="A29" s="527" t="s">
        <v>833</v>
      </c>
      <c r="B29" s="527" t="s">
        <v>9872</v>
      </c>
      <c r="C29" s="292" t="s">
        <v>9873</v>
      </c>
      <c r="D29" s="293">
        <v>9203</v>
      </c>
      <c r="F29" s="527" t="s">
        <v>9181</v>
      </c>
      <c r="H29" s="292"/>
      <c r="J29" s="292"/>
    </row>
    <row r="30" spans="1:10">
      <c r="A30" s="527" t="s">
        <v>834</v>
      </c>
      <c r="B30" s="527" t="s">
        <v>9874</v>
      </c>
      <c r="C30" s="292" t="s">
        <v>9875</v>
      </c>
      <c r="D30" s="295">
        <v>11171</v>
      </c>
      <c r="F30" s="527" t="s">
        <v>9183</v>
      </c>
      <c r="H30" s="292"/>
      <c r="J30" s="292"/>
    </row>
    <row r="31" spans="1:10">
      <c r="A31" s="527" t="s">
        <v>835</v>
      </c>
      <c r="B31" s="527" t="s">
        <v>7667</v>
      </c>
      <c r="C31" s="292" t="s">
        <v>9876</v>
      </c>
      <c r="D31" s="293">
        <v>10410</v>
      </c>
      <c r="F31" s="527" t="s">
        <v>9847</v>
      </c>
      <c r="H31" s="292"/>
      <c r="J31" s="292"/>
    </row>
    <row r="32" spans="1:10">
      <c r="A32" s="527" t="s">
        <v>836</v>
      </c>
      <c r="B32" s="527" t="s">
        <v>9877</v>
      </c>
      <c r="C32" s="292" t="s">
        <v>9878</v>
      </c>
      <c r="D32" s="293">
        <v>9674</v>
      </c>
      <c r="F32" s="527" t="s">
        <v>9181</v>
      </c>
      <c r="H32" s="292"/>
      <c r="J32" s="292"/>
    </row>
    <row r="33" spans="1:10">
      <c r="A33" s="527" t="s">
        <v>837</v>
      </c>
      <c r="B33" s="527" t="s">
        <v>9879</v>
      </c>
      <c r="C33" s="292" t="s">
        <v>9880</v>
      </c>
      <c r="D33" s="295">
        <v>9887</v>
      </c>
      <c r="F33" s="527" t="s">
        <v>9183</v>
      </c>
      <c r="H33" s="292"/>
      <c r="J33" s="292"/>
    </row>
    <row r="34" spans="1:10">
      <c r="A34" s="527" t="s">
        <v>838</v>
      </c>
      <c r="B34" s="527" t="s">
        <v>9881</v>
      </c>
      <c r="C34" s="292" t="s">
        <v>9882</v>
      </c>
      <c r="D34" s="293">
        <v>10181</v>
      </c>
      <c r="F34" s="527" t="s">
        <v>9847</v>
      </c>
      <c r="H34" s="292"/>
      <c r="J34" s="292"/>
    </row>
    <row r="36" spans="1:10">
      <c r="A36" s="528" t="s">
        <v>9883</v>
      </c>
    </row>
  </sheetData>
  <printOptions gridLinesSet="0"/>
  <pageMargins left="0.78740157480314965" right="0" top="0.51181102362204722" bottom="0.51181102362204722" header="0.51181102362204722" footer="0.51181102362204722"/>
  <pageSetup paperSize="9" scale="77" orientation="portrait" horizontalDpi="300" verticalDpi="300" r:id="rId1"/>
  <headerFooter alignWithMargins="0">
    <oddFooter>&amp;C&amp;"Times New Roman,Regular"&amp;8&amp;P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81"/>
  <sheetViews>
    <sheetView showGridLines="0" zoomScaleNormal="100" workbookViewId="0"/>
  </sheetViews>
  <sheetFormatPr defaultColWidth="12.59765625" defaultRowHeight="14.5"/>
  <cols>
    <col min="1" max="1" width="4.8984375" style="148" customWidth="1"/>
    <col min="2" max="2" width="40.69921875" style="148" customWidth="1"/>
    <col min="3" max="3" width="11.59765625" style="148" customWidth="1"/>
    <col min="4" max="4" width="10.3984375" style="148" customWidth="1"/>
    <col min="5" max="5" width="2.296875" style="148" customWidth="1"/>
    <col min="6" max="6" width="35.69921875" style="148" customWidth="1"/>
    <col min="7" max="16384" width="12.59765625" style="148"/>
  </cols>
  <sheetData>
    <row r="1" spans="1:6">
      <c r="A1" s="147" t="s">
        <v>1075</v>
      </c>
      <c r="D1" s="148">
        <v>2016</v>
      </c>
    </row>
    <row r="3" spans="1:6">
      <c r="A3" s="2" t="s">
        <v>2390</v>
      </c>
      <c r="D3" s="3">
        <f>SUM(D22:D74)</f>
        <v>133026</v>
      </c>
    </row>
    <row r="4" spans="1:6" ht="15.75" customHeight="1"/>
    <row r="5" spans="1:6" ht="15.75" customHeight="1">
      <c r="A5" s="2" t="s">
        <v>2391</v>
      </c>
      <c r="D5" s="149">
        <f>SUM(D23:D26)+D29+SUM(D33:D41)+D43+D44+D46+D47+D56+D58+D60+SUM(D62:D67)+D70+SUM(D72:D74)</f>
        <v>77370</v>
      </c>
      <c r="E5" s="2"/>
      <c r="F5" s="2" t="s">
        <v>2392</v>
      </c>
    </row>
    <row r="6" spans="1:6" ht="15.75" customHeight="1">
      <c r="D6" s="150"/>
    </row>
    <row r="7" spans="1:6">
      <c r="A7" s="147" t="s">
        <v>2393</v>
      </c>
      <c r="D7" s="149">
        <f>D22+D27+SUM(D30:D32)+D42+D48+SUM(D52:D55)+D57+D61+D68+D71</f>
        <v>38036</v>
      </c>
      <c r="F7" s="147" t="s">
        <v>2392</v>
      </c>
    </row>
    <row r="8" spans="1:6" ht="15" thickBot="1">
      <c r="A8" s="147"/>
      <c r="D8" s="151">
        <f>'SHROPSHIRE &amp; TELFORD &amp; WREKIN '!D8</f>
        <v>39497</v>
      </c>
      <c r="F8" s="147" t="s">
        <v>2394</v>
      </c>
    </row>
    <row r="9" spans="1:6" ht="15" thickBot="1">
      <c r="A9" s="147"/>
      <c r="D9" s="152">
        <f>D7+D8</f>
        <v>77533</v>
      </c>
      <c r="F9" s="147"/>
    </row>
    <row r="10" spans="1:6">
      <c r="D10" s="150"/>
    </row>
    <row r="11" spans="1:6">
      <c r="A11" s="148" t="s">
        <v>2395</v>
      </c>
      <c r="D11" s="150">
        <f>D28+D45+SUM(D49:D51)+D59+D69</f>
        <v>17620</v>
      </c>
      <c r="F11" s="147" t="s">
        <v>2392</v>
      </c>
    </row>
    <row r="12" spans="1:6">
      <c r="D12" s="153">
        <f>WORCESTERSHIRE!D25</f>
        <v>58606</v>
      </c>
      <c r="F12" s="147" t="s">
        <v>2383</v>
      </c>
    </row>
    <row r="13" spans="1:6" ht="15" thickBot="1">
      <c r="D13" s="154">
        <f>WORCESTERSHIRE!D26</f>
        <v>1946</v>
      </c>
      <c r="F13" s="147" t="s">
        <v>2396</v>
      </c>
    </row>
    <row r="14" spans="1:6" ht="15" thickBot="1">
      <c r="D14" s="155">
        <f>SUM(D11:D13)</f>
        <v>78172</v>
      </c>
    </row>
    <row r="15" spans="1:6">
      <c r="D15" s="150"/>
    </row>
    <row r="16" spans="1:6">
      <c r="A16" s="147" t="s">
        <v>1041</v>
      </c>
      <c r="D16" s="149">
        <f>D5+D7+D11</f>
        <v>133026</v>
      </c>
    </row>
    <row r="17" spans="1:10">
      <c r="A17" s="147"/>
      <c r="D17" s="149"/>
    </row>
    <row r="18" spans="1:10">
      <c r="A18" s="147" t="s">
        <v>1042</v>
      </c>
      <c r="D18" s="149">
        <f>MAX(D5,D9,D14)-MIN(D5,D9,D14)</f>
        <v>802</v>
      </c>
    </row>
    <row r="19" spans="1:10">
      <c r="A19" s="147"/>
      <c r="D19" s="149"/>
    </row>
    <row r="20" spans="1:10">
      <c r="A20" s="156" t="s">
        <v>1045</v>
      </c>
      <c r="D20" s="149">
        <f>STDEVP(D5,D9,D14)</f>
        <v>346.10435163722258</v>
      </c>
    </row>
    <row r="21" spans="1:10">
      <c r="A21" s="156"/>
      <c r="D21" s="157"/>
    </row>
    <row r="22" spans="1:10" ht="15.75" customHeight="1">
      <c r="A22" s="35">
        <v>1</v>
      </c>
      <c r="B22" s="2" t="s">
        <v>2397</v>
      </c>
      <c r="C22" s="1" t="s">
        <v>2398</v>
      </c>
      <c r="D22" s="13">
        <v>2798</v>
      </c>
      <c r="E22" s="2"/>
      <c r="F22" s="147" t="s">
        <v>2393</v>
      </c>
      <c r="G22"/>
      <c r="I22" s="1"/>
      <c r="J22" s="2"/>
    </row>
    <row r="23" spans="1:10" ht="15.75" customHeight="1">
      <c r="A23" s="35">
        <v>2</v>
      </c>
      <c r="B23" s="2" t="s">
        <v>2399</v>
      </c>
      <c r="C23" s="1" t="s">
        <v>2400</v>
      </c>
      <c r="D23" s="13">
        <v>2412</v>
      </c>
      <c r="E23" s="2"/>
      <c r="F23" s="2" t="s">
        <v>2391</v>
      </c>
      <c r="G23"/>
      <c r="I23" s="1"/>
      <c r="J23" s="2"/>
    </row>
    <row r="24" spans="1:10" ht="15.75" customHeight="1">
      <c r="A24" s="35">
        <v>3</v>
      </c>
      <c r="B24" s="2" t="s">
        <v>2401</v>
      </c>
      <c r="C24" s="1" t="s">
        <v>2402</v>
      </c>
      <c r="D24" s="13">
        <v>2242</v>
      </c>
      <c r="E24" s="2"/>
      <c r="F24" s="2" t="s">
        <v>2391</v>
      </c>
      <c r="G24"/>
      <c r="I24" s="1"/>
      <c r="J24" s="2"/>
    </row>
    <row r="25" spans="1:10" ht="15.75" customHeight="1">
      <c r="A25" s="35">
        <v>4</v>
      </c>
      <c r="B25" s="2" t="s">
        <v>2403</v>
      </c>
      <c r="C25" s="1" t="s">
        <v>2404</v>
      </c>
      <c r="D25" s="13">
        <v>2505</v>
      </c>
      <c r="E25" s="2"/>
      <c r="F25" s="2" t="s">
        <v>2391</v>
      </c>
      <c r="G25"/>
      <c r="I25" s="1"/>
      <c r="J25" s="2"/>
    </row>
    <row r="26" spans="1:10" ht="15.75" customHeight="1">
      <c r="A26" s="35">
        <v>5</v>
      </c>
      <c r="B26" s="2" t="s">
        <v>2405</v>
      </c>
      <c r="C26" s="1" t="s">
        <v>2406</v>
      </c>
      <c r="D26" s="13">
        <v>2370</v>
      </c>
      <c r="E26" s="2"/>
      <c r="F26" s="2" t="s">
        <v>2391</v>
      </c>
      <c r="G26"/>
      <c r="I26" s="1"/>
      <c r="J26" s="2"/>
    </row>
    <row r="27" spans="1:10" ht="15.75" customHeight="1">
      <c r="A27" s="35">
        <v>6</v>
      </c>
      <c r="B27" s="2" t="s">
        <v>2407</v>
      </c>
      <c r="C27" s="1" t="s">
        <v>2408</v>
      </c>
      <c r="D27" s="13">
        <v>2916</v>
      </c>
      <c r="E27" s="2"/>
      <c r="F27" s="147" t="s">
        <v>2393</v>
      </c>
      <c r="G27"/>
      <c r="I27" s="1"/>
      <c r="J27" s="2"/>
    </row>
    <row r="28" spans="1:10" ht="15.75" customHeight="1">
      <c r="A28" s="35">
        <v>7</v>
      </c>
      <c r="B28" s="2" t="s">
        <v>2409</v>
      </c>
      <c r="C28" s="1" t="s">
        <v>2410</v>
      </c>
      <c r="D28" s="13">
        <v>2433</v>
      </c>
      <c r="E28" s="2"/>
      <c r="F28" s="148" t="s">
        <v>2395</v>
      </c>
      <c r="G28"/>
      <c r="I28" s="1"/>
      <c r="J28" s="2"/>
    </row>
    <row r="29" spans="1:10" ht="15.75" customHeight="1">
      <c r="A29" s="35">
        <v>8</v>
      </c>
      <c r="B29" s="2" t="s">
        <v>2411</v>
      </c>
      <c r="C29" s="1" t="s">
        <v>2412</v>
      </c>
      <c r="D29" s="13">
        <v>2278</v>
      </c>
      <c r="E29" s="2"/>
      <c r="F29" s="2" t="s">
        <v>2391</v>
      </c>
      <c r="G29"/>
      <c r="I29" s="1"/>
      <c r="J29" s="2"/>
    </row>
    <row r="30" spans="1:10" ht="15.75" customHeight="1">
      <c r="A30" s="35">
        <v>9</v>
      </c>
      <c r="B30" s="2" t="s">
        <v>2413</v>
      </c>
      <c r="C30" s="1" t="s">
        <v>2414</v>
      </c>
      <c r="D30" s="13">
        <v>2548</v>
      </c>
      <c r="E30" s="2"/>
      <c r="F30" s="147" t="s">
        <v>2393</v>
      </c>
      <c r="G30"/>
      <c r="I30" s="1"/>
      <c r="J30" s="2"/>
    </row>
    <row r="31" spans="1:10" ht="15.75" customHeight="1">
      <c r="A31" s="35">
        <v>10</v>
      </c>
      <c r="B31" s="2" t="s">
        <v>2415</v>
      </c>
      <c r="C31" s="1" t="s">
        <v>2416</v>
      </c>
      <c r="D31" s="13">
        <v>2222</v>
      </c>
      <c r="E31" s="2"/>
      <c r="F31" s="147" t="s">
        <v>2393</v>
      </c>
      <c r="G31"/>
      <c r="I31" s="1"/>
      <c r="J31" s="2"/>
    </row>
    <row r="32" spans="1:10" ht="15.75" customHeight="1">
      <c r="A32" s="35">
        <v>11</v>
      </c>
      <c r="B32" s="2" t="s">
        <v>883</v>
      </c>
      <c r="C32" s="1" t="s">
        <v>2417</v>
      </c>
      <c r="D32" s="13">
        <v>2388</v>
      </c>
      <c r="E32" s="2"/>
      <c r="F32" s="147" t="s">
        <v>2393</v>
      </c>
      <c r="G32"/>
      <c r="I32" s="1"/>
      <c r="J32" s="2"/>
    </row>
    <row r="33" spans="1:10" ht="15.75" customHeight="1">
      <c r="A33" s="35">
        <v>12</v>
      </c>
      <c r="B33" s="2" t="s">
        <v>888</v>
      </c>
      <c r="C33" s="1" t="s">
        <v>2418</v>
      </c>
      <c r="D33" s="13">
        <v>2159</v>
      </c>
      <c r="E33" s="2"/>
      <c r="F33" s="2" t="s">
        <v>2391</v>
      </c>
      <c r="G33"/>
      <c r="I33" s="1"/>
      <c r="J33" s="2"/>
    </row>
    <row r="34" spans="1:10" ht="15.75" customHeight="1">
      <c r="A34" s="35">
        <v>13</v>
      </c>
      <c r="B34" s="2" t="s">
        <v>246</v>
      </c>
      <c r="C34" s="1" t="s">
        <v>2419</v>
      </c>
      <c r="D34" s="13">
        <v>2679</v>
      </c>
      <c r="E34" s="2"/>
      <c r="F34" s="2" t="s">
        <v>2391</v>
      </c>
      <c r="G34"/>
      <c r="I34" s="1"/>
      <c r="J34" s="2"/>
    </row>
    <row r="35" spans="1:10" ht="15.75" customHeight="1">
      <c r="A35" s="35">
        <v>14</v>
      </c>
      <c r="B35" s="2" t="s">
        <v>2420</v>
      </c>
      <c r="C35" s="1" t="s">
        <v>2421</v>
      </c>
      <c r="D35" s="13">
        <v>2276</v>
      </c>
      <c r="E35" s="2"/>
      <c r="F35" s="2" t="s">
        <v>2391</v>
      </c>
      <c r="G35"/>
      <c r="I35" s="1"/>
      <c r="J35" s="2"/>
    </row>
    <row r="36" spans="1:10" ht="15.75" customHeight="1">
      <c r="A36" s="35">
        <v>15</v>
      </c>
      <c r="B36" s="2" t="s">
        <v>2422</v>
      </c>
      <c r="C36" s="1" t="s">
        <v>2423</v>
      </c>
      <c r="D36" s="13">
        <v>2602</v>
      </c>
      <c r="E36" s="2"/>
      <c r="F36" s="2" t="s">
        <v>2391</v>
      </c>
      <c r="G36"/>
      <c r="I36" s="1"/>
      <c r="J36" s="2"/>
    </row>
    <row r="37" spans="1:10" ht="15.75" customHeight="1">
      <c r="A37" s="35">
        <v>16</v>
      </c>
      <c r="B37" s="2" t="s">
        <v>2424</v>
      </c>
      <c r="C37" s="1" t="s">
        <v>2425</v>
      </c>
      <c r="D37" s="13">
        <v>2574</v>
      </c>
      <c r="E37" s="2"/>
      <c r="F37" s="2" t="s">
        <v>2391</v>
      </c>
      <c r="G37"/>
      <c r="I37" s="1"/>
      <c r="J37" s="2"/>
    </row>
    <row r="38" spans="1:10" ht="15.75" customHeight="1">
      <c r="A38" s="35">
        <v>17</v>
      </c>
      <c r="B38" s="2" t="s">
        <v>2426</v>
      </c>
      <c r="C38" s="1" t="s">
        <v>2427</v>
      </c>
      <c r="D38" s="13">
        <v>2386</v>
      </c>
      <c r="E38" s="2"/>
      <c r="F38" s="2" t="s">
        <v>2391</v>
      </c>
      <c r="G38"/>
      <c r="I38" s="1"/>
      <c r="J38" s="2"/>
    </row>
    <row r="39" spans="1:10" ht="15.75" customHeight="1">
      <c r="A39" s="35">
        <v>18</v>
      </c>
      <c r="B39" s="2" t="s">
        <v>2428</v>
      </c>
      <c r="C39" s="1" t="s">
        <v>2429</v>
      </c>
      <c r="D39" s="13">
        <v>2546</v>
      </c>
      <c r="E39" s="2"/>
      <c r="F39" s="2" t="s">
        <v>2391</v>
      </c>
      <c r="G39"/>
      <c r="I39" s="1"/>
      <c r="J39" s="2"/>
    </row>
    <row r="40" spans="1:10" ht="15.75" customHeight="1">
      <c r="A40" s="35">
        <v>19</v>
      </c>
      <c r="B40" s="2" t="s">
        <v>2430</v>
      </c>
      <c r="C40" s="1" t="s">
        <v>2431</v>
      </c>
      <c r="D40" s="13">
        <v>2482</v>
      </c>
      <c r="E40" s="2"/>
      <c r="F40" s="2" t="s">
        <v>2391</v>
      </c>
      <c r="G40"/>
      <c r="I40" s="1"/>
      <c r="J40" s="2"/>
    </row>
    <row r="41" spans="1:10" ht="15.75" customHeight="1">
      <c r="A41" s="35">
        <v>20</v>
      </c>
      <c r="B41" s="2" t="s">
        <v>2432</v>
      </c>
      <c r="C41" s="1" t="s">
        <v>2433</v>
      </c>
      <c r="D41" s="13">
        <v>2752</v>
      </c>
      <c r="E41" s="2"/>
      <c r="F41" s="2" t="s">
        <v>2391</v>
      </c>
      <c r="G41"/>
      <c r="I41" s="1"/>
      <c r="J41" s="2"/>
    </row>
    <row r="42" spans="1:10" ht="15.75" customHeight="1">
      <c r="A42" s="35">
        <v>21</v>
      </c>
      <c r="B42" s="2" t="s">
        <v>2434</v>
      </c>
      <c r="C42" s="1" t="s">
        <v>2435</v>
      </c>
      <c r="D42" s="13">
        <v>2666</v>
      </c>
      <c r="E42" s="2"/>
      <c r="F42" s="147" t="s">
        <v>2393</v>
      </c>
      <c r="G42"/>
      <c r="I42" s="1"/>
      <c r="J42" s="2"/>
    </row>
    <row r="43" spans="1:10" ht="15.75" customHeight="1">
      <c r="A43" s="35">
        <v>22</v>
      </c>
      <c r="B43" s="2" t="s">
        <v>2436</v>
      </c>
      <c r="C43" s="1" t="s">
        <v>2437</v>
      </c>
      <c r="D43" s="13">
        <v>2599</v>
      </c>
      <c r="E43" s="2"/>
      <c r="F43" s="2" t="s">
        <v>2391</v>
      </c>
      <c r="G43"/>
      <c r="I43" s="1"/>
      <c r="J43" s="2"/>
    </row>
    <row r="44" spans="1:10" ht="15.75" customHeight="1">
      <c r="A44" s="35">
        <v>23</v>
      </c>
      <c r="B44" s="2" t="s">
        <v>2438</v>
      </c>
      <c r="C44" s="1" t="s">
        <v>2439</v>
      </c>
      <c r="D44" s="13">
        <v>2599</v>
      </c>
      <c r="E44" s="2"/>
      <c r="F44" s="2" t="s">
        <v>2391</v>
      </c>
      <c r="G44"/>
      <c r="I44" s="1"/>
      <c r="J44" s="2"/>
    </row>
    <row r="45" spans="1:10" ht="15.75" customHeight="1">
      <c r="A45" s="35">
        <v>24</v>
      </c>
      <c r="B45" s="2" t="s">
        <v>2440</v>
      </c>
      <c r="C45" s="1" t="s">
        <v>2441</v>
      </c>
      <c r="D45" s="13">
        <v>2805</v>
      </c>
      <c r="E45" s="2"/>
      <c r="F45" s="148" t="s">
        <v>2395</v>
      </c>
      <c r="G45"/>
      <c r="I45" s="1"/>
      <c r="J45" s="2"/>
    </row>
    <row r="46" spans="1:10" ht="15.75" customHeight="1">
      <c r="A46" s="35">
        <v>25</v>
      </c>
      <c r="B46" s="2" t="s">
        <v>2442</v>
      </c>
      <c r="C46" s="1" t="s">
        <v>2443</v>
      </c>
      <c r="D46" s="13">
        <v>2437</v>
      </c>
      <c r="E46" s="2"/>
      <c r="F46" s="2" t="s">
        <v>2391</v>
      </c>
      <c r="G46"/>
      <c r="I46" s="1"/>
      <c r="J46" s="2"/>
    </row>
    <row r="47" spans="1:10" ht="15.75" customHeight="1">
      <c r="A47" s="35">
        <v>26</v>
      </c>
      <c r="B47" s="2" t="s">
        <v>2444</v>
      </c>
      <c r="C47" s="1" t="s">
        <v>2445</v>
      </c>
      <c r="D47" s="13">
        <v>2537</v>
      </c>
      <c r="E47" s="2"/>
      <c r="F47" s="2" t="s">
        <v>2391</v>
      </c>
      <c r="G47"/>
      <c r="I47" s="1"/>
      <c r="J47" s="2"/>
    </row>
    <row r="48" spans="1:10" ht="15.75" customHeight="1">
      <c r="A48" s="35">
        <v>27</v>
      </c>
      <c r="B48" s="2" t="s">
        <v>785</v>
      </c>
      <c r="C48" s="1" t="s">
        <v>2446</v>
      </c>
      <c r="D48" s="13">
        <v>2445</v>
      </c>
      <c r="E48" s="2"/>
      <c r="F48" s="147" t="s">
        <v>2393</v>
      </c>
      <c r="G48"/>
      <c r="I48" s="1"/>
      <c r="J48" s="2"/>
    </row>
    <row r="49" spans="1:10" ht="15.75" customHeight="1">
      <c r="A49" s="35">
        <v>28</v>
      </c>
      <c r="B49" s="2" t="s">
        <v>2447</v>
      </c>
      <c r="C49" s="1" t="s">
        <v>2448</v>
      </c>
      <c r="D49" s="13">
        <v>2436</v>
      </c>
      <c r="E49" s="2"/>
      <c r="F49" s="148" t="s">
        <v>2395</v>
      </c>
      <c r="G49"/>
      <c r="I49" s="1"/>
      <c r="J49" s="2"/>
    </row>
    <row r="50" spans="1:10" ht="15.75" customHeight="1">
      <c r="A50" s="35">
        <v>29</v>
      </c>
      <c r="B50" s="2" t="s">
        <v>2449</v>
      </c>
      <c r="C50" s="1" t="s">
        <v>2450</v>
      </c>
      <c r="D50" s="13">
        <v>2385</v>
      </c>
      <c r="E50" s="2"/>
      <c r="F50" s="148" t="s">
        <v>2395</v>
      </c>
      <c r="G50"/>
      <c r="I50" s="1"/>
      <c r="J50" s="2"/>
    </row>
    <row r="51" spans="1:10" ht="15.75" customHeight="1">
      <c r="A51" s="35">
        <v>30</v>
      </c>
      <c r="B51" s="2" t="s">
        <v>2451</v>
      </c>
      <c r="C51" s="1" t="s">
        <v>2452</v>
      </c>
      <c r="D51" s="13">
        <v>2479</v>
      </c>
      <c r="E51" s="2"/>
      <c r="F51" s="148" t="s">
        <v>2395</v>
      </c>
      <c r="G51"/>
      <c r="I51" s="1"/>
      <c r="J51" s="2"/>
    </row>
    <row r="52" spans="1:10" ht="15.75" customHeight="1">
      <c r="A52" s="35">
        <v>31</v>
      </c>
      <c r="B52" s="2" t="s">
        <v>2453</v>
      </c>
      <c r="C52" s="1" t="s">
        <v>2454</v>
      </c>
      <c r="D52" s="13">
        <v>2544</v>
      </c>
      <c r="E52" s="2"/>
      <c r="F52" s="147" t="s">
        <v>2393</v>
      </c>
      <c r="G52"/>
      <c r="I52" s="1"/>
      <c r="J52" s="2"/>
    </row>
    <row r="53" spans="1:10" ht="15.75" customHeight="1">
      <c r="A53" s="35">
        <v>32</v>
      </c>
      <c r="B53" s="2" t="s">
        <v>2455</v>
      </c>
      <c r="C53" s="1" t="s">
        <v>2456</v>
      </c>
      <c r="D53" s="13">
        <v>2832</v>
      </c>
      <c r="E53" s="2"/>
      <c r="F53" s="147" t="s">
        <v>2393</v>
      </c>
      <c r="G53"/>
      <c r="I53" s="1"/>
      <c r="J53" s="2"/>
    </row>
    <row r="54" spans="1:10" ht="15.75" customHeight="1">
      <c r="A54" s="35">
        <v>33</v>
      </c>
      <c r="B54" s="2" t="s">
        <v>2457</v>
      </c>
      <c r="C54" s="1" t="s">
        <v>2458</v>
      </c>
      <c r="D54" s="13">
        <v>2465</v>
      </c>
      <c r="E54" s="2"/>
      <c r="F54" s="147" t="s">
        <v>2393</v>
      </c>
      <c r="G54"/>
      <c r="I54" s="1"/>
      <c r="J54" s="2"/>
    </row>
    <row r="55" spans="1:10" ht="15.75" customHeight="1">
      <c r="A55" s="35">
        <v>34</v>
      </c>
      <c r="B55" s="2" t="s">
        <v>2459</v>
      </c>
      <c r="C55" s="1" t="s">
        <v>2460</v>
      </c>
      <c r="D55" s="13">
        <v>1997</v>
      </c>
      <c r="E55" s="2"/>
      <c r="F55" s="147" t="s">
        <v>2393</v>
      </c>
      <c r="G55"/>
      <c r="I55" s="1"/>
      <c r="J55" s="2"/>
    </row>
    <row r="56" spans="1:10" ht="15.75" customHeight="1">
      <c r="A56" s="35">
        <v>35</v>
      </c>
      <c r="B56" s="2" t="s">
        <v>2461</v>
      </c>
      <c r="C56" s="1" t="s">
        <v>2462</v>
      </c>
      <c r="D56" s="13">
        <v>2671</v>
      </c>
      <c r="E56" s="2"/>
      <c r="F56" s="2" t="s">
        <v>2391</v>
      </c>
      <c r="G56"/>
      <c r="I56" s="1"/>
      <c r="J56" s="2"/>
    </row>
    <row r="57" spans="1:10" ht="15.75" customHeight="1">
      <c r="A57" s="35">
        <v>36</v>
      </c>
      <c r="B57" s="2" t="s">
        <v>2463</v>
      </c>
      <c r="C57" s="1" t="s">
        <v>2464</v>
      </c>
      <c r="D57" s="13">
        <v>2542</v>
      </c>
      <c r="E57" s="2"/>
      <c r="F57" s="147" t="s">
        <v>2393</v>
      </c>
      <c r="G57"/>
      <c r="I57" s="1"/>
      <c r="J57" s="2"/>
    </row>
    <row r="58" spans="1:10" ht="15.75" customHeight="1">
      <c r="A58" s="35">
        <v>37</v>
      </c>
      <c r="B58" s="2" t="s">
        <v>2465</v>
      </c>
      <c r="C58" s="1" t="s">
        <v>2466</v>
      </c>
      <c r="D58" s="13">
        <v>2504</v>
      </c>
      <c r="E58" s="2"/>
      <c r="F58" s="2" t="s">
        <v>2391</v>
      </c>
      <c r="G58"/>
      <c r="I58" s="1"/>
      <c r="J58" s="2"/>
    </row>
    <row r="59" spans="1:10" ht="15.75" customHeight="1">
      <c r="A59" s="35">
        <v>38</v>
      </c>
      <c r="B59" s="2" t="s">
        <v>2467</v>
      </c>
      <c r="C59" s="1" t="s">
        <v>2468</v>
      </c>
      <c r="D59" s="13">
        <v>2424</v>
      </c>
      <c r="E59" s="2"/>
      <c r="F59" s="2" t="s">
        <v>2395</v>
      </c>
      <c r="G59"/>
      <c r="I59" s="1"/>
      <c r="J59" s="2"/>
    </row>
    <row r="60" spans="1:10" ht="15.75" customHeight="1">
      <c r="A60" s="35">
        <v>39</v>
      </c>
      <c r="B60" s="2" t="s">
        <v>2469</v>
      </c>
      <c r="C60" s="1" t="s">
        <v>2470</v>
      </c>
      <c r="D60" s="13">
        <v>2631</v>
      </c>
      <c r="E60" s="2"/>
      <c r="F60" s="148" t="s">
        <v>2391</v>
      </c>
      <c r="G60"/>
      <c r="I60" s="1"/>
      <c r="J60" s="2"/>
    </row>
    <row r="61" spans="1:10" ht="15.75" customHeight="1">
      <c r="A61" s="35">
        <v>40</v>
      </c>
      <c r="B61" s="2" t="s">
        <v>2471</v>
      </c>
      <c r="C61" s="1" t="s">
        <v>2472</v>
      </c>
      <c r="D61" s="13">
        <v>2556</v>
      </c>
      <c r="E61" s="2"/>
      <c r="F61" s="147" t="s">
        <v>2393</v>
      </c>
      <c r="G61"/>
      <c r="I61" s="1"/>
      <c r="J61" s="2"/>
    </row>
    <row r="62" spans="1:10" ht="15.75" customHeight="1">
      <c r="A62" s="158">
        <v>41</v>
      </c>
      <c r="B62" s="2" t="s">
        <v>2473</v>
      </c>
      <c r="C62" s="1" t="s">
        <v>2474</v>
      </c>
      <c r="D62" s="13">
        <v>2757</v>
      </c>
      <c r="E62" s="2"/>
      <c r="F62" s="2" t="s">
        <v>2391</v>
      </c>
      <c r="G62"/>
      <c r="I62" s="1"/>
      <c r="J62" s="2"/>
    </row>
    <row r="63" spans="1:10" ht="15.75" customHeight="1">
      <c r="A63" s="158">
        <v>42</v>
      </c>
      <c r="B63" s="2" t="s">
        <v>2475</v>
      </c>
      <c r="C63" s="1" t="s">
        <v>2476</v>
      </c>
      <c r="D63" s="13">
        <v>2806</v>
      </c>
      <c r="E63" s="2"/>
      <c r="F63" s="2" t="s">
        <v>2391</v>
      </c>
      <c r="G63"/>
      <c r="I63" s="1"/>
      <c r="J63" s="2"/>
    </row>
    <row r="64" spans="1:10" ht="15.75" customHeight="1">
      <c r="A64" s="158">
        <v>43</v>
      </c>
      <c r="B64" s="2" t="s">
        <v>2477</v>
      </c>
      <c r="C64" s="1" t="s">
        <v>2478</v>
      </c>
      <c r="D64" s="13">
        <v>2541</v>
      </c>
      <c r="E64" s="2"/>
      <c r="F64" s="2" t="s">
        <v>2391</v>
      </c>
      <c r="G64"/>
      <c r="I64" s="1"/>
      <c r="J64" s="2"/>
    </row>
    <row r="65" spans="1:10" ht="15.75" customHeight="1">
      <c r="A65" s="158">
        <v>44</v>
      </c>
      <c r="B65" s="2" t="s">
        <v>2479</v>
      </c>
      <c r="C65" s="1" t="s">
        <v>2480</v>
      </c>
      <c r="D65" s="13">
        <v>2535</v>
      </c>
      <c r="E65" s="2"/>
      <c r="F65" s="2" t="s">
        <v>2391</v>
      </c>
      <c r="G65"/>
      <c r="I65" s="1"/>
      <c r="J65" s="2"/>
    </row>
    <row r="66" spans="1:10" ht="15.75" customHeight="1">
      <c r="A66" s="158">
        <v>45</v>
      </c>
      <c r="B66" s="2" t="s">
        <v>2481</v>
      </c>
      <c r="C66" s="1" t="s">
        <v>2482</v>
      </c>
      <c r="D66" s="13">
        <v>2618</v>
      </c>
      <c r="E66" s="2"/>
      <c r="F66" s="2" t="s">
        <v>2391</v>
      </c>
      <c r="G66"/>
      <c r="I66" s="1"/>
      <c r="J66" s="2"/>
    </row>
    <row r="67" spans="1:10" ht="15.75" customHeight="1">
      <c r="A67" s="158">
        <v>46</v>
      </c>
      <c r="B67" s="2" t="s">
        <v>2483</v>
      </c>
      <c r="C67" s="1" t="s">
        <v>2484</v>
      </c>
      <c r="D67" s="13">
        <v>2603</v>
      </c>
      <c r="E67" s="2"/>
      <c r="F67" s="2" t="s">
        <v>2391</v>
      </c>
      <c r="G67"/>
      <c r="I67" s="1"/>
      <c r="J67" s="2"/>
    </row>
    <row r="68" spans="1:10" ht="15.75" customHeight="1">
      <c r="A68" s="158">
        <v>47</v>
      </c>
      <c r="B68" s="2" t="s">
        <v>2485</v>
      </c>
      <c r="C68" s="1" t="s">
        <v>2486</v>
      </c>
      <c r="D68" s="150">
        <v>2392</v>
      </c>
      <c r="E68" s="2"/>
      <c r="F68" s="147" t="s">
        <v>2393</v>
      </c>
      <c r="G68"/>
      <c r="I68" s="1"/>
      <c r="J68" s="2"/>
    </row>
    <row r="69" spans="1:10" ht="15.75" customHeight="1">
      <c r="A69" s="158">
        <v>48</v>
      </c>
      <c r="B69" s="2" t="s">
        <v>2487</v>
      </c>
      <c r="C69" s="1" t="s">
        <v>2488</v>
      </c>
      <c r="D69" s="13">
        <v>2658</v>
      </c>
      <c r="E69" s="2"/>
      <c r="F69" s="148" t="s">
        <v>2395</v>
      </c>
      <c r="G69"/>
      <c r="I69" s="1"/>
      <c r="J69" s="2"/>
    </row>
    <row r="70" spans="1:10" ht="15.75" customHeight="1">
      <c r="A70" s="158">
        <v>49</v>
      </c>
      <c r="B70" s="2" t="s">
        <v>2489</v>
      </c>
      <c r="C70" s="1" t="s">
        <v>2490</v>
      </c>
      <c r="D70" s="13">
        <v>2489</v>
      </c>
      <c r="E70" s="2"/>
      <c r="F70" s="2" t="s">
        <v>2391</v>
      </c>
      <c r="G70"/>
      <c r="I70" s="1"/>
      <c r="J70" s="2"/>
    </row>
    <row r="71" spans="1:10" ht="15.75" customHeight="1">
      <c r="A71" s="158">
        <v>50</v>
      </c>
      <c r="B71" s="2" t="s">
        <v>2491</v>
      </c>
      <c r="C71" s="1" t="s">
        <v>2492</v>
      </c>
      <c r="D71" s="13">
        <v>2725</v>
      </c>
      <c r="E71" s="2"/>
      <c r="F71" s="147" t="s">
        <v>2393</v>
      </c>
      <c r="G71"/>
      <c r="I71" s="1"/>
      <c r="J71" s="2"/>
    </row>
    <row r="72" spans="1:10" ht="15.75" customHeight="1">
      <c r="A72" s="158">
        <v>51</v>
      </c>
      <c r="B72" s="2" t="s">
        <v>2493</v>
      </c>
      <c r="C72" s="1" t="s">
        <v>2494</v>
      </c>
      <c r="D72" s="13">
        <v>2463</v>
      </c>
      <c r="E72" s="2"/>
      <c r="F72" s="2" t="s">
        <v>2391</v>
      </c>
      <c r="G72"/>
      <c r="I72" s="1"/>
      <c r="J72" s="2"/>
    </row>
    <row r="73" spans="1:10" ht="15.75" customHeight="1">
      <c r="A73" s="159">
        <v>52</v>
      </c>
      <c r="B73" s="2" t="s">
        <v>2495</v>
      </c>
      <c r="C73" s="1" t="s">
        <v>2496</v>
      </c>
      <c r="D73" s="13">
        <v>1781</v>
      </c>
      <c r="E73" s="2"/>
      <c r="F73" s="2" t="s">
        <v>2391</v>
      </c>
      <c r="G73"/>
      <c r="I73" s="1"/>
      <c r="J73" s="2"/>
    </row>
    <row r="74" spans="1:10" ht="15.75" customHeight="1">
      <c r="A74" s="159">
        <v>53</v>
      </c>
      <c r="B74" s="2" t="s">
        <v>2497</v>
      </c>
      <c r="C74" s="1" t="s">
        <v>2498</v>
      </c>
      <c r="D74" s="13">
        <v>2536</v>
      </c>
      <c r="E74" s="2"/>
      <c r="F74" s="2" t="s">
        <v>2391</v>
      </c>
      <c r="G74"/>
      <c r="I74" s="1"/>
      <c r="J74" s="2"/>
    </row>
    <row r="75" spans="1:10">
      <c r="A75" s="156"/>
      <c r="D75" s="157"/>
    </row>
    <row r="76" spans="1:10">
      <c r="A76" s="156" t="s">
        <v>2499</v>
      </c>
      <c r="D76" s="157"/>
    </row>
    <row r="77" spans="1:10">
      <c r="A77" s="156"/>
      <c r="D77" s="157"/>
    </row>
    <row r="78" spans="1:10">
      <c r="A78" s="156"/>
      <c r="D78" s="157"/>
    </row>
    <row r="79" spans="1:10">
      <c r="A79" s="156"/>
      <c r="D79" s="2"/>
    </row>
    <row r="80" spans="1:10">
      <c r="B80" s="2"/>
      <c r="C80" s="2"/>
      <c r="D80" s="2"/>
      <c r="E80" s="2"/>
      <c r="F80" s="2"/>
      <c r="G80" s="2"/>
    </row>
    <row r="81" spans="2:7">
      <c r="B81" s="2"/>
      <c r="C81" s="2"/>
      <c r="E81" s="2"/>
      <c r="F81" s="2"/>
      <c r="G81" s="2"/>
    </row>
  </sheetData>
  <printOptions gridLinesSet="0"/>
  <pageMargins left="0.78740157480314965" right="0" top="0.51181102362204722" bottom="0.51181102362204722" header="0.51181102362204722" footer="0.51181102362204722"/>
  <pageSetup paperSize="9" scale="71" orientation="portrait" horizontalDpi="300" verticalDpi="300" r:id="rId1"/>
  <headerFooter alignWithMargins="0">
    <oddFooter>&amp;C&amp;"Times New Roman,Regular"&amp;8&amp;P of &amp;N</oddFooter>
  </headerFooter>
  <ignoredErrors>
    <ignoredError sqref="D5:D20" unlockedFormula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53"/>
  <sheetViews>
    <sheetView showGridLines="0" zoomScaleNormal="100" workbookViewId="0"/>
  </sheetViews>
  <sheetFormatPr defaultColWidth="12.59765625" defaultRowHeight="14.5"/>
  <cols>
    <col min="1" max="1" width="4.8984375" style="17" customWidth="1"/>
    <col min="2" max="2" width="40.69921875" style="17" customWidth="1"/>
    <col min="3" max="3" width="11.59765625" style="17" customWidth="1"/>
    <col min="4" max="4" width="10" style="17" customWidth="1"/>
    <col min="5" max="5" width="2.296875" style="17" customWidth="1"/>
    <col min="6" max="6" width="33" style="17" customWidth="1"/>
    <col min="7" max="16384" width="12.59765625" style="17"/>
  </cols>
  <sheetData>
    <row r="1" spans="1:7">
      <c r="A1" s="18" t="s">
        <v>1075</v>
      </c>
      <c r="B1" s="16"/>
      <c r="C1" s="16"/>
      <c r="D1" s="39">
        <v>2016</v>
      </c>
      <c r="E1" s="16"/>
      <c r="G1" s="16"/>
    </row>
    <row r="2" spans="1:7">
      <c r="A2" s="16"/>
      <c r="B2" s="16"/>
      <c r="C2" s="16"/>
      <c r="D2" s="16"/>
      <c r="E2" s="16"/>
      <c r="F2" s="16"/>
      <c r="G2" s="16"/>
    </row>
    <row r="3" spans="1:7">
      <c r="A3" s="18" t="s">
        <v>6801</v>
      </c>
      <c r="B3" s="16"/>
      <c r="C3" s="16"/>
      <c r="D3" s="366">
        <f t="shared" ref="D3" si="0">SUM(D5:D14)</f>
        <v>801230</v>
      </c>
      <c r="E3" s="16"/>
      <c r="G3" s="16"/>
    </row>
    <row r="4" spans="1:7">
      <c r="A4" s="16"/>
      <c r="B4" s="16"/>
      <c r="C4" s="16"/>
      <c r="D4" s="367"/>
      <c r="E4" s="16"/>
      <c r="F4" s="16"/>
      <c r="G4" s="16"/>
    </row>
    <row r="5" spans="1:7">
      <c r="A5" s="18" t="s">
        <v>7969</v>
      </c>
      <c r="C5" s="18"/>
      <c r="D5" s="366">
        <f t="shared" ref="D5" si="1">D66</f>
        <v>66150</v>
      </c>
      <c r="E5" s="16"/>
      <c r="F5" s="368"/>
      <c r="G5" s="16"/>
    </row>
    <row r="6" spans="1:7">
      <c r="A6" s="18" t="s">
        <v>7970</v>
      </c>
      <c r="C6" s="18"/>
      <c r="D6" s="366">
        <f t="shared" ref="D6" si="2">D85</f>
        <v>104252</v>
      </c>
      <c r="E6" s="16"/>
      <c r="F6" s="368"/>
      <c r="G6" s="16"/>
    </row>
    <row r="7" spans="1:7">
      <c r="A7" s="18" t="s">
        <v>7971</v>
      </c>
      <c r="C7" s="18"/>
      <c r="D7" s="366">
        <f t="shared" ref="D7" si="3">D120</f>
        <v>101155</v>
      </c>
      <c r="E7" s="16"/>
      <c r="F7" s="368"/>
      <c r="G7" s="16"/>
    </row>
    <row r="8" spans="1:7">
      <c r="A8" s="18" t="s">
        <v>7972</v>
      </c>
      <c r="C8" s="18"/>
      <c r="D8" s="366">
        <f t="shared" ref="D8" si="4">D164</f>
        <v>69825</v>
      </c>
      <c r="E8" s="16"/>
      <c r="F8" s="368"/>
      <c r="G8" s="16"/>
    </row>
    <row r="9" spans="1:7">
      <c r="A9" s="18" t="s">
        <v>7973</v>
      </c>
      <c r="C9" s="18"/>
      <c r="D9" s="366">
        <f t="shared" ref="D9" si="5">D188</f>
        <v>95635</v>
      </c>
      <c r="E9" s="16"/>
      <c r="F9" s="368"/>
      <c r="G9" s="16"/>
    </row>
    <row r="10" spans="1:7">
      <c r="A10" s="18" t="s">
        <v>7974</v>
      </c>
      <c r="C10" s="18"/>
      <c r="D10" s="366">
        <f t="shared" ref="D10" si="6">D223</f>
        <v>101652</v>
      </c>
      <c r="E10" s="16"/>
      <c r="F10" s="368"/>
      <c r="G10" s="16"/>
    </row>
    <row r="11" spans="1:7">
      <c r="A11" s="18" t="s">
        <v>7975</v>
      </c>
      <c r="C11" s="18"/>
      <c r="D11" s="366">
        <f t="shared" ref="D11" si="7">D255</f>
        <v>59620</v>
      </c>
      <c r="E11" s="16"/>
      <c r="F11" s="368"/>
      <c r="G11" s="16"/>
    </row>
    <row r="12" spans="1:7">
      <c r="A12" s="18" t="s">
        <v>7976</v>
      </c>
      <c r="C12" s="18"/>
      <c r="D12" s="366">
        <f t="shared" ref="D12" si="8">D278</f>
        <v>66161</v>
      </c>
      <c r="E12" s="16"/>
      <c r="F12" s="368"/>
      <c r="G12" s="16"/>
    </row>
    <row r="13" spans="1:7">
      <c r="A13" s="18" t="s">
        <v>7977</v>
      </c>
      <c r="C13" s="18"/>
      <c r="D13" s="366">
        <f t="shared" ref="D13" si="9">D304</f>
        <v>63484</v>
      </c>
      <c r="E13" s="16"/>
      <c r="F13" s="368"/>
      <c r="G13" s="16"/>
    </row>
    <row r="14" spans="1:7">
      <c r="A14" s="18" t="s">
        <v>7978</v>
      </c>
      <c r="C14" s="18"/>
      <c r="D14" s="366">
        <f t="shared" ref="D14" si="10">D325</f>
        <v>73296</v>
      </c>
      <c r="E14" s="16"/>
      <c r="F14" s="368"/>
      <c r="G14" s="16"/>
    </row>
    <row r="15" spans="1:7">
      <c r="A15" s="16"/>
      <c r="B15" s="16"/>
      <c r="C15" s="16"/>
      <c r="D15" s="16"/>
      <c r="E15" s="16"/>
      <c r="F15" s="16"/>
      <c r="G15" s="16"/>
    </row>
    <row r="16" spans="1:7">
      <c r="A16" s="18" t="s">
        <v>7979</v>
      </c>
      <c r="D16" s="366">
        <f t="shared" ref="D16" si="11">D78</f>
        <v>66150</v>
      </c>
      <c r="E16" s="16"/>
      <c r="F16" s="18" t="s">
        <v>6791</v>
      </c>
      <c r="G16" s="16"/>
    </row>
    <row r="17" spans="1:7">
      <c r="A17" s="18"/>
      <c r="D17" s="366">
        <f>D152</f>
        <v>2173</v>
      </c>
      <c r="E17" s="16"/>
      <c r="F17" s="18" t="s">
        <v>7008</v>
      </c>
      <c r="G17" s="16"/>
    </row>
    <row r="18" spans="1:7" ht="15" thickBot="1">
      <c r="A18" s="16"/>
      <c r="D18" s="369">
        <f t="shared" ref="D18" si="12">D344</f>
        <v>4270</v>
      </c>
      <c r="E18" s="16"/>
      <c r="F18" s="18" t="s">
        <v>7980</v>
      </c>
      <c r="G18" s="16"/>
    </row>
    <row r="19" spans="1:7" ht="15" thickBot="1">
      <c r="A19" s="16"/>
      <c r="D19" s="369">
        <f>SUM(D16:D18)</f>
        <v>72593</v>
      </c>
      <c r="E19" s="16"/>
      <c r="F19" s="16"/>
      <c r="G19" s="16"/>
    </row>
    <row r="20" spans="1:7">
      <c r="A20" s="16"/>
      <c r="D20" s="367"/>
      <c r="E20" s="16"/>
      <c r="F20" s="16"/>
      <c r="G20" s="16"/>
    </row>
    <row r="21" spans="1:7">
      <c r="A21" s="18" t="s">
        <v>7981</v>
      </c>
      <c r="D21" s="366">
        <f t="shared" ref="D21" si="13">D112</f>
        <v>68600</v>
      </c>
      <c r="E21" s="16"/>
      <c r="F21" s="18" t="s">
        <v>7982</v>
      </c>
      <c r="G21" s="16"/>
    </row>
    <row r="22" spans="1:7" ht="15" thickBot="1">
      <c r="A22" s="18"/>
      <c r="D22" s="369">
        <f>D293</f>
        <v>4926</v>
      </c>
      <c r="E22" s="16"/>
      <c r="F22" s="18" t="s">
        <v>7983</v>
      </c>
      <c r="G22" s="16"/>
    </row>
    <row r="23" spans="1:7" ht="15" thickBot="1">
      <c r="A23" s="18"/>
      <c r="D23" s="369">
        <f>D21+D22</f>
        <v>73526</v>
      </c>
      <c r="E23" s="16"/>
      <c r="F23" s="18"/>
      <c r="G23" s="16"/>
    </row>
    <row r="24" spans="1:7">
      <c r="A24" s="16"/>
      <c r="D24" s="367"/>
      <c r="E24" s="16"/>
      <c r="F24" s="16"/>
      <c r="G24" s="16"/>
    </row>
    <row r="25" spans="1:7">
      <c r="A25" s="18" t="s">
        <v>7984</v>
      </c>
      <c r="D25" s="366">
        <f t="shared" ref="D25" si="14">D153</f>
        <v>75023</v>
      </c>
      <c r="E25" s="16"/>
      <c r="F25" s="18" t="s">
        <v>7008</v>
      </c>
      <c r="G25" s="16"/>
    </row>
    <row r="26" spans="1:7">
      <c r="A26" s="16"/>
      <c r="D26" s="367"/>
      <c r="E26" s="16"/>
      <c r="F26" s="16"/>
      <c r="G26" s="16"/>
    </row>
    <row r="27" spans="1:7">
      <c r="A27" s="18" t="s">
        <v>7985</v>
      </c>
      <c r="D27" s="366">
        <f t="shared" ref="D27" si="15">D181</f>
        <v>69825</v>
      </c>
      <c r="E27" s="16"/>
      <c r="F27" s="18" t="s">
        <v>6794</v>
      </c>
      <c r="G27" s="16"/>
    </row>
    <row r="28" spans="1:7" ht="15" thickBot="1">
      <c r="A28" s="18"/>
      <c r="D28" s="369">
        <f>D294</f>
        <v>5006</v>
      </c>
      <c r="E28" s="16"/>
      <c r="F28" s="18" t="s">
        <v>7983</v>
      </c>
      <c r="G28" s="16"/>
    </row>
    <row r="29" spans="1:7" ht="15" thickBot="1">
      <c r="A29" s="18"/>
      <c r="D29" s="369">
        <f t="shared" ref="D29" si="16">SUM(D27:D28)</f>
        <v>74831</v>
      </c>
      <c r="E29" s="16"/>
      <c r="F29" s="18"/>
      <c r="G29" s="16"/>
    </row>
    <row r="30" spans="1:7">
      <c r="A30" s="16"/>
      <c r="D30" s="367"/>
      <c r="E30" s="16"/>
      <c r="F30" s="16"/>
      <c r="G30" s="16"/>
    </row>
    <row r="31" spans="1:7">
      <c r="A31" s="18" t="s">
        <v>7986</v>
      </c>
      <c r="D31" s="366">
        <f t="shared" ref="D31" si="17">D214</f>
        <v>38925</v>
      </c>
      <c r="E31" s="16"/>
      <c r="F31" s="18" t="s">
        <v>7009</v>
      </c>
      <c r="G31" s="16"/>
    </row>
    <row r="32" spans="1:7" ht="15" thickBot="1">
      <c r="A32" s="16"/>
      <c r="D32" s="369">
        <f t="shared" ref="D32" si="18">D245</f>
        <v>34553</v>
      </c>
      <c r="E32" s="16"/>
      <c r="F32" s="18" t="s">
        <v>7987</v>
      </c>
      <c r="G32" s="16"/>
    </row>
    <row r="33" spans="1:7" ht="15" thickBot="1">
      <c r="A33" s="16"/>
      <c r="D33" s="369">
        <f t="shared" ref="D33" si="19">SUM(D31:D32)</f>
        <v>73478</v>
      </c>
      <c r="E33" s="16"/>
      <c r="F33" s="16"/>
      <c r="G33" s="16"/>
    </row>
    <row r="34" spans="1:7">
      <c r="A34" s="16"/>
      <c r="D34" s="367"/>
      <c r="E34" s="16"/>
      <c r="F34" s="16"/>
      <c r="G34" s="16"/>
    </row>
    <row r="35" spans="1:7">
      <c r="A35" s="18" t="s">
        <v>7007</v>
      </c>
      <c r="D35" s="366">
        <f t="shared" ref="D35" si="20">D154</f>
        <v>14346</v>
      </c>
      <c r="E35" s="16"/>
      <c r="F35" s="18" t="s">
        <v>7008</v>
      </c>
      <c r="G35" s="16"/>
    </row>
    <row r="36" spans="1:7">
      <c r="A36" s="16"/>
      <c r="D36" s="370">
        <f t="shared" ref="D36" si="21">D215</f>
        <v>50681</v>
      </c>
      <c r="E36" s="16"/>
      <c r="F36" s="18" t="s">
        <v>7009</v>
      </c>
      <c r="G36" s="16"/>
    </row>
    <row r="37" spans="1:7" ht="15" thickBot="1">
      <c r="A37" s="16"/>
      <c r="D37" s="369">
        <f>CAMBRIDGESHIRE!D25</f>
        <v>9422</v>
      </c>
      <c r="E37" s="16"/>
      <c r="F37" s="338" t="s">
        <v>7002</v>
      </c>
      <c r="G37" s="16"/>
    </row>
    <row r="38" spans="1:7" ht="15" thickBot="1">
      <c r="A38" s="16"/>
      <c r="D38" s="369">
        <f>SUM(D35:D37)</f>
        <v>74449</v>
      </c>
      <c r="E38" s="16"/>
      <c r="F38" s="16"/>
      <c r="G38" s="16"/>
    </row>
    <row r="39" spans="1:7">
      <c r="A39" s="16"/>
      <c r="D39" s="367"/>
      <c r="E39" s="16"/>
      <c r="F39" s="16"/>
      <c r="G39" s="16"/>
    </row>
    <row r="40" spans="1:7">
      <c r="A40" s="18" t="s">
        <v>7988</v>
      </c>
      <c r="D40" s="366">
        <f t="shared" ref="D40" si="22">D113</f>
        <v>35652</v>
      </c>
      <c r="E40" s="16"/>
      <c r="F40" s="18" t="s">
        <v>7982</v>
      </c>
      <c r="G40" s="16"/>
    </row>
    <row r="41" spans="1:7" ht="15" thickBot="1">
      <c r="A41" s="16"/>
      <c r="D41" s="369">
        <f t="shared" ref="D41" si="23">D295</f>
        <v>36752</v>
      </c>
      <c r="E41" s="16"/>
      <c r="F41" s="18" t="s">
        <v>7983</v>
      </c>
      <c r="G41" s="16"/>
    </row>
    <row r="42" spans="1:7" ht="15" thickBot="1">
      <c r="A42" s="16"/>
      <c r="D42" s="369">
        <f t="shared" ref="D42" si="24">SUM(D40:D41)</f>
        <v>72404</v>
      </c>
      <c r="E42" s="16"/>
      <c r="F42" s="16"/>
      <c r="G42" s="16"/>
    </row>
    <row r="43" spans="1:7">
      <c r="A43" s="16"/>
      <c r="D43" s="367"/>
      <c r="E43" s="16"/>
      <c r="F43" s="16"/>
      <c r="G43" s="16"/>
    </row>
    <row r="44" spans="1:7">
      <c r="A44" s="18" t="s">
        <v>7989</v>
      </c>
      <c r="D44" s="366">
        <f t="shared" ref="D44" si="25">D246</f>
        <v>67099</v>
      </c>
      <c r="E44" s="16"/>
      <c r="F44" s="18" t="s">
        <v>7987</v>
      </c>
      <c r="G44" s="16"/>
    </row>
    <row r="45" spans="1:7" ht="15" thickBot="1">
      <c r="A45" s="16"/>
      <c r="D45" s="369">
        <f t="shared" ref="D45" si="26">D296</f>
        <v>10083</v>
      </c>
      <c r="E45" s="16"/>
      <c r="F45" s="18" t="s">
        <v>7983</v>
      </c>
      <c r="G45" s="16"/>
    </row>
    <row r="46" spans="1:7" ht="15" thickBot="1">
      <c r="A46" s="16"/>
      <c r="D46" s="369">
        <f t="shared" ref="D46" si="27">SUM(D44:D45)</f>
        <v>77182</v>
      </c>
      <c r="E46" s="16"/>
      <c r="F46" s="16"/>
      <c r="G46" s="16"/>
    </row>
    <row r="47" spans="1:7">
      <c r="A47" s="16"/>
      <c r="D47" s="367"/>
      <c r="E47" s="16"/>
      <c r="F47" s="16"/>
      <c r="G47" s="16"/>
    </row>
    <row r="48" spans="1:7">
      <c r="A48" s="18" t="s">
        <v>7990</v>
      </c>
      <c r="D48" s="366">
        <f t="shared" ref="D48" si="28">D155</f>
        <v>5876</v>
      </c>
      <c r="E48" s="16"/>
      <c r="F48" s="18" t="s">
        <v>7008</v>
      </c>
      <c r="G48" s="16"/>
    </row>
    <row r="49" spans="1:7">
      <c r="A49" s="16"/>
      <c r="D49" s="366">
        <f t="shared" ref="D49" si="29">D216</f>
        <v>6029</v>
      </c>
      <c r="E49" s="16"/>
      <c r="F49" s="18" t="s">
        <v>7009</v>
      </c>
      <c r="G49" s="16"/>
    </row>
    <row r="50" spans="1:7" ht="15" thickBot="1">
      <c r="A50" s="16"/>
      <c r="D50" s="369">
        <f t="shared" ref="D50" si="30">D270</f>
        <v>59620</v>
      </c>
      <c r="E50" s="16"/>
      <c r="F50" s="18" t="s">
        <v>6797</v>
      </c>
      <c r="G50" s="16"/>
    </row>
    <row r="51" spans="1:7" ht="15" thickBot="1">
      <c r="A51" s="16"/>
      <c r="D51" s="369">
        <f t="shared" ref="D51" si="31">SUM(D48:D50)</f>
        <v>71525</v>
      </c>
      <c r="E51" s="16"/>
      <c r="F51" s="16"/>
      <c r="G51" s="16"/>
    </row>
    <row r="52" spans="1:7">
      <c r="A52" s="16"/>
      <c r="D52" s="367"/>
      <c r="E52" s="16"/>
      <c r="F52" s="16"/>
      <c r="G52" s="16"/>
    </row>
    <row r="53" spans="1:7">
      <c r="A53" s="18" t="s">
        <v>7991</v>
      </c>
      <c r="D53" s="366">
        <f t="shared" ref="D53" si="32">D297</f>
        <v>9394</v>
      </c>
      <c r="E53" s="16"/>
      <c r="F53" s="18" t="s">
        <v>7983</v>
      </c>
      <c r="G53" s="16"/>
    </row>
    <row r="54" spans="1:7" ht="15" thickBot="1">
      <c r="A54" s="16"/>
      <c r="D54" s="369">
        <f t="shared" ref="D54" si="33">D318</f>
        <v>63484</v>
      </c>
      <c r="E54" s="16"/>
      <c r="F54" s="18" t="s">
        <v>6799</v>
      </c>
      <c r="G54" s="16"/>
    </row>
    <row r="55" spans="1:7" ht="15" thickBot="1">
      <c r="A55" s="16"/>
      <c r="D55" s="369">
        <f t="shared" ref="D55" si="34">SUM(D53:D54)</f>
        <v>72878</v>
      </c>
      <c r="E55" s="16"/>
      <c r="F55" s="16"/>
      <c r="G55" s="16"/>
    </row>
    <row r="56" spans="1:7">
      <c r="A56" s="16"/>
      <c r="D56" s="367"/>
      <c r="E56" s="16"/>
      <c r="F56" s="16"/>
      <c r="G56" s="16"/>
    </row>
    <row r="57" spans="1:7">
      <c r="A57" s="18" t="s">
        <v>7992</v>
      </c>
      <c r="D57" s="367">
        <f>D156</f>
        <v>3737</v>
      </c>
      <c r="E57" s="16"/>
      <c r="F57" s="18" t="s">
        <v>7008</v>
      </c>
      <c r="G57" s="16"/>
    </row>
    <row r="58" spans="1:7" ht="15" thickBot="1">
      <c r="D58" s="369">
        <f t="shared" ref="D58" si="35">D345</f>
        <v>69026</v>
      </c>
      <c r="E58" s="16"/>
      <c r="F58" s="18" t="s">
        <v>7980</v>
      </c>
      <c r="G58" s="16"/>
    </row>
    <row r="59" spans="1:7" ht="15" thickBot="1">
      <c r="A59" s="18"/>
      <c r="D59" s="369">
        <f t="shared" ref="D59" si="36">SUM(D57:D58)</f>
        <v>72763</v>
      </c>
      <c r="E59" s="16"/>
      <c r="F59" s="18"/>
      <c r="G59" s="16"/>
    </row>
    <row r="60" spans="1:7">
      <c r="A60" s="16"/>
      <c r="B60" s="16"/>
      <c r="C60" s="16"/>
      <c r="D60" s="367"/>
      <c r="E60" s="16"/>
      <c r="F60" s="16"/>
      <c r="G60" s="16"/>
    </row>
    <row r="61" spans="1:7">
      <c r="A61" s="18" t="s">
        <v>1041</v>
      </c>
      <c r="B61" s="16"/>
      <c r="C61" s="16"/>
      <c r="D61" s="366">
        <f>D19+D23+D25+D29+D33+D35+D36+D42+D46+D51+D55+D59</f>
        <v>801230</v>
      </c>
      <c r="E61" s="16"/>
      <c r="F61" s="16"/>
      <c r="G61" s="16"/>
    </row>
    <row r="62" spans="1:7">
      <c r="A62" s="16"/>
      <c r="B62" s="16"/>
      <c r="C62" s="16"/>
      <c r="D62" s="367"/>
      <c r="E62" s="16"/>
      <c r="F62" s="16"/>
      <c r="G62" s="16"/>
    </row>
    <row r="63" spans="1:7">
      <c r="A63" s="371"/>
      <c r="B63" s="16"/>
      <c r="C63" s="16"/>
      <c r="D63" s="372"/>
      <c r="E63" s="16"/>
      <c r="F63" s="16"/>
      <c r="G63" s="16"/>
    </row>
    <row r="64" spans="1:7">
      <c r="A64" s="16"/>
      <c r="B64" s="16"/>
      <c r="D64" s="10" t="s">
        <v>285</v>
      </c>
      <c r="E64" s="249"/>
      <c r="F64" s="5" t="s">
        <v>4116</v>
      </c>
    </row>
    <row r="65" spans="1:9">
      <c r="A65" s="16"/>
      <c r="B65" s="16"/>
      <c r="C65" s="16"/>
      <c r="D65" s="39">
        <v>2016</v>
      </c>
      <c r="E65" s="40"/>
      <c r="F65" s="41" t="s">
        <v>286</v>
      </c>
      <c r="G65" s="16"/>
    </row>
    <row r="66" spans="1:9" ht="15" customHeight="1">
      <c r="A66" s="18" t="s">
        <v>7993</v>
      </c>
      <c r="C66" s="18"/>
      <c r="D66" s="366">
        <f t="shared" ref="D66" si="37">SUM(D67:D76)</f>
        <v>66150</v>
      </c>
      <c r="E66" s="16"/>
      <c r="F66" s="16"/>
      <c r="G66" s="16"/>
    </row>
    <row r="67" spans="1:9">
      <c r="A67" s="373">
        <v>1</v>
      </c>
      <c r="B67" s="18" t="s">
        <v>7994</v>
      </c>
      <c r="C67" s="1" t="s">
        <v>7995</v>
      </c>
      <c r="D67" s="7">
        <v>6966</v>
      </c>
      <c r="E67" s="16"/>
      <c r="F67" s="18" t="s">
        <v>7979</v>
      </c>
      <c r="G67" s="1"/>
      <c r="I67" s="1"/>
    </row>
    <row r="68" spans="1:9">
      <c r="A68" s="373">
        <v>2</v>
      </c>
      <c r="B68" s="18" t="s">
        <v>7996</v>
      </c>
      <c r="C68" s="1" t="s">
        <v>7997</v>
      </c>
      <c r="D68" s="7">
        <v>6313</v>
      </c>
      <c r="E68" s="16"/>
      <c r="F68" s="18" t="s">
        <v>7979</v>
      </c>
      <c r="G68" s="1"/>
      <c r="I68" s="1"/>
    </row>
    <row r="69" spans="1:9">
      <c r="A69" s="373">
        <v>3</v>
      </c>
      <c r="B69" s="18" t="s">
        <v>7998</v>
      </c>
      <c r="C69" s="1" t="s">
        <v>7999</v>
      </c>
      <c r="D69" s="7">
        <v>6090</v>
      </c>
      <c r="E69" s="16"/>
      <c r="F69" s="18" t="s">
        <v>7979</v>
      </c>
      <c r="G69" s="1"/>
      <c r="I69" s="1"/>
    </row>
    <row r="70" spans="1:9">
      <c r="A70" s="373">
        <v>4</v>
      </c>
      <c r="B70" s="18" t="s">
        <v>8000</v>
      </c>
      <c r="C70" s="1" t="s">
        <v>8001</v>
      </c>
      <c r="D70" s="7">
        <v>6580</v>
      </c>
      <c r="E70" s="16"/>
      <c r="F70" s="18" t="s">
        <v>7979</v>
      </c>
      <c r="G70" s="1"/>
      <c r="I70" s="1"/>
    </row>
    <row r="71" spans="1:9">
      <c r="A71" s="373">
        <v>5</v>
      </c>
      <c r="B71" s="18" t="s">
        <v>8002</v>
      </c>
      <c r="C71" s="1" t="s">
        <v>8003</v>
      </c>
      <c r="D71" s="7">
        <v>6734</v>
      </c>
      <c r="E71" s="16"/>
      <c r="F71" s="18" t="s">
        <v>7979</v>
      </c>
      <c r="G71" s="1"/>
      <c r="I71" s="1"/>
    </row>
    <row r="72" spans="1:9">
      <c r="A72" s="373">
        <v>6</v>
      </c>
      <c r="B72" s="18" t="s">
        <v>8004</v>
      </c>
      <c r="C72" s="1" t="s">
        <v>8005</v>
      </c>
      <c r="D72" s="7">
        <v>7105</v>
      </c>
      <c r="E72" s="16"/>
      <c r="F72" s="18" t="s">
        <v>7979</v>
      </c>
      <c r="G72" s="1"/>
      <c r="I72" s="1"/>
    </row>
    <row r="73" spans="1:9">
      <c r="A73" s="373">
        <v>7</v>
      </c>
      <c r="B73" s="18" t="s">
        <v>8006</v>
      </c>
      <c r="C73" s="1" t="s">
        <v>8007</v>
      </c>
      <c r="D73" s="7">
        <v>6150</v>
      </c>
      <c r="E73" s="16"/>
      <c r="F73" s="18" t="s">
        <v>7979</v>
      </c>
      <c r="G73" s="1"/>
      <c r="I73" s="1"/>
    </row>
    <row r="74" spans="1:9">
      <c r="A74" s="373">
        <v>8</v>
      </c>
      <c r="B74" s="18" t="s">
        <v>8008</v>
      </c>
      <c r="C74" s="1" t="s">
        <v>8009</v>
      </c>
      <c r="D74" s="7">
        <v>6360</v>
      </c>
      <c r="E74" s="16"/>
      <c r="F74" s="18" t="s">
        <v>7979</v>
      </c>
      <c r="G74" s="1"/>
      <c r="I74" s="1"/>
    </row>
    <row r="75" spans="1:9">
      <c r="A75" s="373">
        <v>9</v>
      </c>
      <c r="B75" s="18" t="s">
        <v>8010</v>
      </c>
      <c r="C75" s="1" t="s">
        <v>8011</v>
      </c>
      <c r="D75" s="7">
        <v>6361</v>
      </c>
      <c r="E75" s="16"/>
      <c r="F75" s="18" t="s">
        <v>7979</v>
      </c>
      <c r="G75" s="1"/>
      <c r="I75" s="1"/>
    </row>
    <row r="76" spans="1:9">
      <c r="A76" s="373">
        <v>10</v>
      </c>
      <c r="B76" s="18" t="s">
        <v>8012</v>
      </c>
      <c r="C76" s="1" t="s">
        <v>8013</v>
      </c>
      <c r="D76" s="7">
        <v>7491</v>
      </c>
      <c r="E76" s="16"/>
      <c r="F76" s="18" t="s">
        <v>7979</v>
      </c>
      <c r="G76" s="1"/>
      <c r="I76" s="1"/>
    </row>
    <row r="77" spans="1:9">
      <c r="A77" s="16"/>
      <c r="B77" s="16"/>
      <c r="C77" s="16"/>
      <c r="D77" s="367"/>
      <c r="E77" s="16"/>
      <c r="F77" s="16"/>
    </row>
    <row r="78" spans="1:9">
      <c r="A78" s="18" t="s">
        <v>8014</v>
      </c>
      <c r="C78" s="16"/>
      <c r="D78" s="366">
        <f t="shared" ref="D78" si="38">SUM(D67:D76)</f>
        <v>66150</v>
      </c>
      <c r="E78" s="16"/>
      <c r="F78" s="16"/>
    </row>
    <row r="79" spans="1:9">
      <c r="A79" s="16"/>
      <c r="B79" s="16"/>
      <c r="C79" s="16"/>
      <c r="D79" s="16"/>
      <c r="E79" s="16"/>
      <c r="F79" s="16"/>
    </row>
    <row r="80" spans="1:9">
      <c r="A80" s="17" t="s">
        <v>8015</v>
      </c>
      <c r="D80" s="374"/>
      <c r="E80" s="16"/>
      <c r="F80" s="16"/>
    </row>
    <row r="81" spans="1:9">
      <c r="A81" s="18"/>
      <c r="B81" s="18"/>
      <c r="C81" s="16"/>
      <c r="D81" s="374"/>
      <c r="E81" s="16"/>
      <c r="F81" s="16"/>
    </row>
    <row r="82" spans="1:9">
      <c r="A82" s="18"/>
      <c r="B82" s="18"/>
      <c r="C82" s="16"/>
      <c r="D82" s="374"/>
      <c r="E82" s="16"/>
      <c r="F82" s="16"/>
    </row>
    <row r="83" spans="1:9">
      <c r="A83" s="16"/>
      <c r="B83" s="16"/>
      <c r="D83" s="10" t="s">
        <v>285</v>
      </c>
      <c r="E83" s="249"/>
      <c r="F83" s="5" t="s">
        <v>4116</v>
      </c>
    </row>
    <row r="84" spans="1:9">
      <c r="A84" s="16"/>
      <c r="B84" s="16"/>
      <c r="C84" s="16"/>
      <c r="D84" s="39">
        <v>2016</v>
      </c>
      <c r="E84" s="40"/>
      <c r="F84" s="41" t="s">
        <v>286</v>
      </c>
    </row>
    <row r="85" spans="1:9">
      <c r="A85" s="18" t="s">
        <v>8016</v>
      </c>
      <c r="C85" s="16"/>
      <c r="D85" s="366">
        <f t="shared" ref="D85" si="39">SUM(D86:D110)</f>
        <v>104252</v>
      </c>
      <c r="E85" s="16"/>
      <c r="F85" s="16"/>
    </row>
    <row r="86" spans="1:9">
      <c r="A86" s="373">
        <v>1</v>
      </c>
      <c r="B86" s="18" t="s">
        <v>8017</v>
      </c>
      <c r="C86" s="1" t="s">
        <v>8018</v>
      </c>
      <c r="D86" s="13">
        <v>3661</v>
      </c>
      <c r="E86" s="16"/>
      <c r="F86" s="18" t="s">
        <v>7981</v>
      </c>
      <c r="G86" s="1"/>
      <c r="I86" s="1"/>
    </row>
    <row r="87" spans="1:9">
      <c r="A87" s="373">
        <v>2</v>
      </c>
      <c r="B87" s="18" t="s">
        <v>8019</v>
      </c>
      <c r="C87" s="1" t="s">
        <v>8020</v>
      </c>
      <c r="D87" s="13">
        <v>3970</v>
      </c>
      <c r="E87" s="16"/>
      <c r="F87" s="18" t="s">
        <v>7981</v>
      </c>
      <c r="G87" s="1"/>
      <c r="I87" s="1"/>
    </row>
    <row r="88" spans="1:9">
      <c r="A88" s="373">
        <v>3</v>
      </c>
      <c r="B88" s="18" t="s">
        <v>8021</v>
      </c>
      <c r="C88" s="1" t="s">
        <v>8022</v>
      </c>
      <c r="D88" s="13">
        <v>1839</v>
      </c>
      <c r="E88" s="16"/>
      <c r="F88" s="18" t="s">
        <v>7988</v>
      </c>
      <c r="G88" s="1"/>
      <c r="I88" s="1"/>
    </row>
    <row r="89" spans="1:9">
      <c r="A89" s="373">
        <v>4</v>
      </c>
      <c r="B89" s="17" t="s">
        <v>8023</v>
      </c>
      <c r="C89" s="1" t="s">
        <v>8024</v>
      </c>
      <c r="D89" s="13">
        <v>6199</v>
      </c>
      <c r="E89" s="16"/>
      <c r="F89" s="18" t="s">
        <v>7981</v>
      </c>
      <c r="G89" s="1"/>
      <c r="I89" s="1"/>
    </row>
    <row r="90" spans="1:9">
      <c r="A90" s="373">
        <v>5</v>
      </c>
      <c r="B90" s="18" t="s">
        <v>8025</v>
      </c>
      <c r="C90" s="1" t="s">
        <v>8026</v>
      </c>
      <c r="D90" s="13">
        <v>2095</v>
      </c>
      <c r="E90" s="16"/>
      <c r="F90" s="18" t="s">
        <v>7988</v>
      </c>
      <c r="G90" s="1"/>
      <c r="I90" s="1"/>
    </row>
    <row r="91" spans="1:9">
      <c r="A91" s="373">
        <v>6</v>
      </c>
      <c r="B91" s="18" t="s">
        <v>8027</v>
      </c>
      <c r="C91" s="1" t="s">
        <v>8028</v>
      </c>
      <c r="D91" s="13">
        <v>4320</v>
      </c>
      <c r="E91" s="16"/>
      <c r="F91" s="18" t="s">
        <v>7981</v>
      </c>
      <c r="G91" s="1"/>
      <c r="I91" s="1"/>
    </row>
    <row r="92" spans="1:9">
      <c r="A92" s="373">
        <v>7</v>
      </c>
      <c r="B92" s="18" t="s">
        <v>8029</v>
      </c>
      <c r="C92" s="1" t="s">
        <v>8030</v>
      </c>
      <c r="D92" s="13">
        <v>4548</v>
      </c>
      <c r="E92" s="16"/>
      <c r="F92" s="18" t="s">
        <v>7988</v>
      </c>
      <c r="G92" s="1"/>
      <c r="I92" s="1"/>
    </row>
    <row r="93" spans="1:9">
      <c r="A93" s="373">
        <v>8</v>
      </c>
      <c r="B93" s="18" t="s">
        <v>8031</v>
      </c>
      <c r="C93" s="1" t="s">
        <v>8032</v>
      </c>
      <c r="D93" s="13">
        <v>4368</v>
      </c>
      <c r="E93" s="16"/>
      <c r="F93" s="18" t="s">
        <v>7988</v>
      </c>
      <c r="G93" s="1"/>
      <c r="I93" s="1"/>
    </row>
    <row r="94" spans="1:9">
      <c r="A94" s="373">
        <v>9</v>
      </c>
      <c r="B94" s="18" t="s">
        <v>8033</v>
      </c>
      <c r="C94" s="1" t="s">
        <v>8034</v>
      </c>
      <c r="D94" s="13">
        <v>4411</v>
      </c>
      <c r="E94" s="16"/>
      <c r="F94" s="18" t="s">
        <v>7988</v>
      </c>
      <c r="G94" s="1"/>
      <c r="I94" s="1"/>
    </row>
    <row r="95" spans="1:9">
      <c r="A95" s="373">
        <v>10</v>
      </c>
      <c r="B95" s="18" t="s">
        <v>8035</v>
      </c>
      <c r="C95" s="1" t="s">
        <v>8036</v>
      </c>
      <c r="D95" s="13">
        <v>6276</v>
      </c>
      <c r="E95" s="16"/>
      <c r="F95" s="18" t="s">
        <v>7988</v>
      </c>
      <c r="G95" s="1"/>
      <c r="I95" s="1"/>
    </row>
    <row r="96" spans="1:9">
      <c r="A96" s="373">
        <v>11</v>
      </c>
      <c r="B96" s="18" t="s">
        <v>8037</v>
      </c>
      <c r="C96" s="1" t="s">
        <v>8038</v>
      </c>
      <c r="D96" s="13">
        <v>6475</v>
      </c>
      <c r="E96" s="16"/>
      <c r="F96" s="18" t="s">
        <v>7981</v>
      </c>
      <c r="G96" s="1"/>
      <c r="I96" s="1"/>
    </row>
    <row r="97" spans="1:9">
      <c r="A97" s="373">
        <v>12</v>
      </c>
      <c r="B97" s="18" t="s">
        <v>8039</v>
      </c>
      <c r="C97" s="1" t="s">
        <v>8040</v>
      </c>
      <c r="D97" s="13">
        <v>6469</v>
      </c>
      <c r="E97" s="16"/>
      <c r="F97" s="18" t="s">
        <v>7981</v>
      </c>
      <c r="G97" s="1"/>
      <c r="I97" s="1"/>
    </row>
    <row r="98" spans="1:9">
      <c r="A98" s="373">
        <v>13</v>
      </c>
      <c r="B98" s="18" t="s">
        <v>8041</v>
      </c>
      <c r="C98" s="1" t="s">
        <v>8042</v>
      </c>
      <c r="D98" s="13">
        <v>3867</v>
      </c>
      <c r="E98" s="16"/>
      <c r="F98" s="18" t="s">
        <v>7981</v>
      </c>
      <c r="G98" s="1"/>
      <c r="I98" s="1"/>
    </row>
    <row r="99" spans="1:9">
      <c r="A99" s="373">
        <v>14</v>
      </c>
      <c r="B99" s="18" t="s">
        <v>8043</v>
      </c>
      <c r="C99" s="1" t="s">
        <v>8044</v>
      </c>
      <c r="D99" s="13">
        <v>5203</v>
      </c>
      <c r="E99" s="16"/>
      <c r="F99" s="18" t="s">
        <v>7981</v>
      </c>
      <c r="G99" s="1"/>
      <c r="I99" s="1"/>
    </row>
    <row r="100" spans="1:9">
      <c r="A100" s="373">
        <v>15</v>
      </c>
      <c r="B100" s="18" t="s">
        <v>8045</v>
      </c>
      <c r="C100" s="1" t="s">
        <v>8046</v>
      </c>
      <c r="D100" s="13">
        <v>3822</v>
      </c>
      <c r="E100" s="16"/>
      <c r="F100" s="18" t="s">
        <v>7981</v>
      </c>
      <c r="G100" s="1"/>
      <c r="I100" s="1"/>
    </row>
    <row r="101" spans="1:9">
      <c r="A101" s="373">
        <v>16</v>
      </c>
      <c r="B101" s="18" t="s">
        <v>2902</v>
      </c>
      <c r="C101" s="1" t="s">
        <v>8047</v>
      </c>
      <c r="D101" s="13">
        <v>3723</v>
      </c>
      <c r="E101" s="16"/>
      <c r="F101" s="18" t="s">
        <v>7981</v>
      </c>
      <c r="G101" s="1"/>
      <c r="I101" s="1"/>
    </row>
    <row r="102" spans="1:9">
      <c r="A102" s="373">
        <v>17</v>
      </c>
      <c r="B102" s="18" t="s">
        <v>8048</v>
      </c>
      <c r="C102" s="1" t="s">
        <v>8049</v>
      </c>
      <c r="D102" s="13">
        <v>3930</v>
      </c>
      <c r="E102" s="16"/>
      <c r="F102" s="18" t="s">
        <v>7981</v>
      </c>
      <c r="G102" s="1"/>
      <c r="I102" s="1"/>
    </row>
    <row r="103" spans="1:9">
      <c r="A103" s="373">
        <v>18</v>
      </c>
      <c r="B103" s="18" t="s">
        <v>8050</v>
      </c>
      <c r="C103" s="1" t="s">
        <v>8051</v>
      </c>
      <c r="D103" s="13">
        <v>6748</v>
      </c>
      <c r="E103" s="16"/>
      <c r="F103" s="18" t="s">
        <v>7981</v>
      </c>
      <c r="G103" s="1"/>
      <c r="I103" s="1"/>
    </row>
    <row r="104" spans="1:9">
      <c r="A104" s="373">
        <v>19</v>
      </c>
      <c r="B104" s="18" t="s">
        <v>8052</v>
      </c>
      <c r="C104" s="1" t="s">
        <v>8053</v>
      </c>
      <c r="D104" s="13">
        <v>2350</v>
      </c>
      <c r="E104" s="16"/>
      <c r="F104" s="18" t="s">
        <v>7981</v>
      </c>
      <c r="G104" s="1"/>
      <c r="I104" s="1"/>
    </row>
    <row r="105" spans="1:9">
      <c r="A105" s="373">
        <v>20</v>
      </c>
      <c r="B105" s="18" t="s">
        <v>8054</v>
      </c>
      <c r="C105" s="1" t="s">
        <v>8055</v>
      </c>
      <c r="D105" s="13">
        <v>2127</v>
      </c>
      <c r="E105" s="16"/>
      <c r="F105" s="18" t="s">
        <v>7988</v>
      </c>
      <c r="G105" s="1"/>
      <c r="I105" s="1"/>
    </row>
    <row r="106" spans="1:9">
      <c r="A106" s="373">
        <v>21</v>
      </c>
      <c r="B106" s="18" t="s">
        <v>8056</v>
      </c>
      <c r="C106" s="1" t="s">
        <v>8057</v>
      </c>
      <c r="D106" s="13">
        <v>3822</v>
      </c>
      <c r="E106" s="16"/>
      <c r="F106" s="18" t="s">
        <v>7988</v>
      </c>
      <c r="G106" s="1"/>
      <c r="I106" s="1"/>
    </row>
    <row r="107" spans="1:9">
      <c r="A107" s="373">
        <v>22</v>
      </c>
      <c r="B107" s="18" t="s">
        <v>8058</v>
      </c>
      <c r="C107" s="1" t="s">
        <v>8059</v>
      </c>
      <c r="D107" s="13">
        <v>2149</v>
      </c>
      <c r="E107" s="16"/>
      <c r="F107" s="18" t="s">
        <v>7988</v>
      </c>
      <c r="G107" s="1"/>
      <c r="I107" s="1"/>
    </row>
    <row r="108" spans="1:9">
      <c r="A108" s="373">
        <v>23</v>
      </c>
      <c r="B108" s="18" t="s">
        <v>8060</v>
      </c>
      <c r="C108" s="1" t="s">
        <v>8061</v>
      </c>
      <c r="D108" s="13">
        <v>4017</v>
      </c>
      <c r="E108" s="16"/>
      <c r="F108" s="18" t="s">
        <v>7988</v>
      </c>
      <c r="G108" s="1"/>
      <c r="I108" s="1"/>
    </row>
    <row r="109" spans="1:9">
      <c r="A109" s="373">
        <v>24</v>
      </c>
      <c r="B109" s="17" t="s">
        <v>8062</v>
      </c>
      <c r="C109" s="1" t="s">
        <v>8063</v>
      </c>
      <c r="D109" s="13">
        <v>4135</v>
      </c>
      <c r="E109" s="16"/>
      <c r="F109" s="18" t="s">
        <v>7981</v>
      </c>
      <c r="G109" s="1"/>
      <c r="I109" s="1"/>
    </row>
    <row r="110" spans="1:9">
      <c r="A110" s="373">
        <v>25</v>
      </c>
      <c r="B110" s="18" t="s">
        <v>8064</v>
      </c>
      <c r="C110" s="1" t="s">
        <v>8065</v>
      </c>
      <c r="D110" s="13">
        <v>3728</v>
      </c>
      <c r="E110" s="16"/>
      <c r="F110" s="18" t="s">
        <v>7981</v>
      </c>
      <c r="G110" s="1"/>
      <c r="I110" s="1"/>
    </row>
    <row r="111" spans="1:9">
      <c r="A111" s="16"/>
      <c r="B111" s="16"/>
      <c r="C111" s="18"/>
      <c r="D111" s="366"/>
      <c r="E111" s="16"/>
      <c r="F111" s="18"/>
    </row>
    <row r="112" spans="1:9">
      <c r="A112" s="18" t="s">
        <v>8066</v>
      </c>
      <c r="C112" s="18"/>
      <c r="D112" s="366">
        <f>D86+D87+D89+D91+SUM(D96:D104)+D109+D110</f>
        <v>68600</v>
      </c>
      <c r="E112" s="16"/>
      <c r="F112" s="18"/>
    </row>
    <row r="113" spans="1:9">
      <c r="A113" s="18" t="s">
        <v>8067</v>
      </c>
      <c r="D113" s="366">
        <f>D88+D90+SUM(D92:D95)+SUM(D105:D108)</f>
        <v>35652</v>
      </c>
      <c r="E113" s="16"/>
      <c r="F113" s="16"/>
    </row>
    <row r="114" spans="1:9">
      <c r="A114" s="18"/>
      <c r="B114" s="18"/>
      <c r="E114" s="16"/>
      <c r="F114" s="16"/>
    </row>
    <row r="115" spans="1:9">
      <c r="A115" s="17" t="s">
        <v>8068</v>
      </c>
      <c r="E115" s="16"/>
      <c r="F115" s="16"/>
    </row>
    <row r="116" spans="1:9">
      <c r="A116" s="18"/>
      <c r="B116" s="18"/>
      <c r="C116" s="16"/>
      <c r="D116" s="374"/>
      <c r="E116" s="16"/>
      <c r="F116" s="16"/>
    </row>
    <row r="117" spans="1:9">
      <c r="C117" s="16"/>
      <c r="D117" s="374"/>
      <c r="E117" s="16"/>
      <c r="F117" s="16"/>
    </row>
    <row r="118" spans="1:9">
      <c r="A118" s="16"/>
      <c r="B118" s="16"/>
      <c r="D118" s="10" t="s">
        <v>285</v>
      </c>
      <c r="E118" s="249"/>
      <c r="F118" s="5" t="s">
        <v>4116</v>
      </c>
    </row>
    <row r="119" spans="1:9">
      <c r="A119" s="16"/>
      <c r="B119" s="16"/>
      <c r="C119" s="16"/>
      <c r="D119" s="39">
        <v>2016</v>
      </c>
      <c r="E119" s="40"/>
      <c r="F119" s="41" t="s">
        <v>286</v>
      </c>
    </row>
    <row r="120" spans="1:9">
      <c r="A120" s="18" t="s">
        <v>8069</v>
      </c>
      <c r="C120" s="16"/>
      <c r="D120" s="366">
        <f t="shared" ref="D120" si="40">SUM(D121:D150)</f>
        <v>101155</v>
      </c>
      <c r="E120" s="16"/>
      <c r="F120" s="16"/>
    </row>
    <row r="121" spans="1:9">
      <c r="A121" s="373">
        <v>1</v>
      </c>
      <c r="B121" s="18" t="s">
        <v>8070</v>
      </c>
      <c r="C121" s="1" t="s">
        <v>8071</v>
      </c>
      <c r="D121" s="13">
        <v>5431</v>
      </c>
      <c r="E121" s="16"/>
      <c r="F121" s="18" t="s">
        <v>7984</v>
      </c>
      <c r="G121" s="1"/>
      <c r="I121" s="1"/>
    </row>
    <row r="122" spans="1:9">
      <c r="A122" s="373">
        <v>2</v>
      </c>
      <c r="B122" s="18" t="s">
        <v>8072</v>
      </c>
      <c r="C122" s="1" t="s">
        <v>8073</v>
      </c>
      <c r="D122" s="13">
        <v>6537</v>
      </c>
      <c r="E122" s="16"/>
      <c r="F122" s="18" t="s">
        <v>7984</v>
      </c>
      <c r="G122" s="1"/>
      <c r="I122" s="1"/>
    </row>
    <row r="123" spans="1:9">
      <c r="A123" s="373">
        <v>3</v>
      </c>
      <c r="B123" s="18" t="s">
        <v>8074</v>
      </c>
      <c r="C123" s="1" t="s">
        <v>8075</v>
      </c>
      <c r="D123" s="13">
        <v>4090</v>
      </c>
      <c r="E123" s="16"/>
      <c r="F123" s="18" t="s">
        <v>7984</v>
      </c>
      <c r="G123" s="1"/>
      <c r="I123" s="1"/>
    </row>
    <row r="124" spans="1:9">
      <c r="A124" s="373">
        <v>4</v>
      </c>
      <c r="B124" s="18" t="s">
        <v>8076</v>
      </c>
      <c r="C124" s="1" t="s">
        <v>8077</v>
      </c>
      <c r="D124" s="13">
        <v>3949</v>
      </c>
      <c r="E124" s="16"/>
      <c r="F124" s="18" t="s">
        <v>7984</v>
      </c>
      <c r="G124" s="1"/>
      <c r="I124" s="1"/>
    </row>
    <row r="125" spans="1:9">
      <c r="A125" s="373">
        <v>5</v>
      </c>
      <c r="B125" s="18" t="s">
        <v>8078</v>
      </c>
      <c r="C125" s="1" t="s">
        <v>8079</v>
      </c>
      <c r="D125" s="13">
        <v>6199</v>
      </c>
      <c r="E125" s="16"/>
      <c r="F125" s="18" t="s">
        <v>7984</v>
      </c>
      <c r="G125" s="1"/>
      <c r="I125" s="1"/>
    </row>
    <row r="126" spans="1:9">
      <c r="A126" s="373">
        <v>6</v>
      </c>
      <c r="B126" s="18" t="s">
        <v>8080</v>
      </c>
      <c r="C126" s="1" t="s">
        <v>8081</v>
      </c>
      <c r="D126" s="13">
        <v>2061</v>
      </c>
      <c r="E126" s="16"/>
      <c r="F126" s="18" t="s">
        <v>7007</v>
      </c>
      <c r="G126" s="1"/>
      <c r="I126" s="1"/>
    </row>
    <row r="127" spans="1:9">
      <c r="A127" s="373">
        <v>7</v>
      </c>
      <c r="B127" s="18" t="s">
        <v>8082</v>
      </c>
      <c r="C127" s="1" t="s">
        <v>8083</v>
      </c>
      <c r="D127" s="13">
        <v>4289</v>
      </c>
      <c r="E127" s="16"/>
      <c r="F127" s="18" t="s">
        <v>7007</v>
      </c>
      <c r="G127" s="1"/>
      <c r="I127" s="1"/>
    </row>
    <row r="128" spans="1:9">
      <c r="A128" s="373">
        <v>8</v>
      </c>
      <c r="B128" s="18" t="s">
        <v>8084</v>
      </c>
      <c r="C128" s="1" t="s">
        <v>8085</v>
      </c>
      <c r="D128" s="13">
        <v>1911</v>
      </c>
      <c r="E128" s="16"/>
      <c r="F128" s="18" t="s">
        <v>7990</v>
      </c>
      <c r="G128" s="1"/>
      <c r="I128" s="1"/>
    </row>
    <row r="129" spans="1:9">
      <c r="A129" s="373">
        <v>9</v>
      </c>
      <c r="B129" s="18" t="s">
        <v>8086</v>
      </c>
      <c r="C129" s="1" t="s">
        <v>8087</v>
      </c>
      <c r="D129" s="13">
        <v>2173</v>
      </c>
      <c r="E129" s="16"/>
      <c r="F129" s="18" t="s">
        <v>7979</v>
      </c>
      <c r="G129" s="1"/>
      <c r="I129" s="1"/>
    </row>
    <row r="130" spans="1:9">
      <c r="A130" s="373">
        <v>10</v>
      </c>
      <c r="B130" s="18" t="s">
        <v>8088</v>
      </c>
      <c r="C130" s="1" t="s">
        <v>8089</v>
      </c>
      <c r="D130" s="13">
        <v>5681</v>
      </c>
      <c r="E130" s="16"/>
      <c r="F130" s="18" t="s">
        <v>7984</v>
      </c>
      <c r="G130" s="1"/>
      <c r="I130" s="1"/>
    </row>
    <row r="131" spans="1:9">
      <c r="A131" s="373">
        <v>11</v>
      </c>
      <c r="B131" s="18" t="s">
        <v>8090</v>
      </c>
      <c r="C131" s="1" t="s">
        <v>8091</v>
      </c>
      <c r="D131" s="13">
        <v>6252</v>
      </c>
      <c r="E131" s="16"/>
      <c r="F131" s="18" t="s">
        <v>7984</v>
      </c>
      <c r="G131" s="1"/>
      <c r="I131" s="1"/>
    </row>
    <row r="132" spans="1:9">
      <c r="A132" s="373">
        <v>12</v>
      </c>
      <c r="B132" s="17" t="s">
        <v>8092</v>
      </c>
      <c r="C132" s="1" t="s">
        <v>8093</v>
      </c>
      <c r="D132" s="13">
        <v>2137</v>
      </c>
      <c r="E132" s="16"/>
      <c r="F132" s="18" t="s">
        <v>7984</v>
      </c>
      <c r="G132" s="1"/>
      <c r="I132" s="1"/>
    </row>
    <row r="133" spans="1:9">
      <c r="A133" s="373">
        <v>13</v>
      </c>
      <c r="B133" s="18" t="s">
        <v>8094</v>
      </c>
      <c r="C133" s="1" t="s">
        <v>8095</v>
      </c>
      <c r="D133" s="13">
        <v>3912</v>
      </c>
      <c r="E133" s="16"/>
      <c r="F133" s="18" t="s">
        <v>7984</v>
      </c>
      <c r="G133" s="1"/>
      <c r="I133" s="1"/>
    </row>
    <row r="134" spans="1:9">
      <c r="A134" s="373">
        <v>14</v>
      </c>
      <c r="B134" s="18" t="s">
        <v>8096</v>
      </c>
      <c r="C134" s="1" t="s">
        <v>8097</v>
      </c>
      <c r="D134" s="13">
        <v>1769</v>
      </c>
      <c r="E134" s="16"/>
      <c r="F134" s="18" t="s">
        <v>7992</v>
      </c>
      <c r="G134" s="1"/>
      <c r="I134" s="1"/>
    </row>
    <row r="135" spans="1:9">
      <c r="A135" s="373">
        <v>15</v>
      </c>
      <c r="B135" s="17" t="s">
        <v>8098</v>
      </c>
      <c r="C135" s="1" t="s">
        <v>8099</v>
      </c>
      <c r="D135" s="13">
        <v>1968</v>
      </c>
      <c r="E135" s="16"/>
      <c r="F135" s="18" t="s">
        <v>7992</v>
      </c>
      <c r="G135" s="1"/>
      <c r="I135" s="1"/>
    </row>
    <row r="136" spans="1:9">
      <c r="A136" s="373">
        <v>16</v>
      </c>
      <c r="B136" s="18" t="s">
        <v>8100</v>
      </c>
      <c r="C136" s="1" t="s">
        <v>8101</v>
      </c>
      <c r="D136" s="13">
        <v>3921</v>
      </c>
      <c r="E136" s="16"/>
      <c r="F136" s="18" t="s">
        <v>7984</v>
      </c>
      <c r="G136" s="1"/>
      <c r="I136" s="1"/>
    </row>
    <row r="137" spans="1:9">
      <c r="A137" s="373">
        <v>17</v>
      </c>
      <c r="B137" s="18" t="s">
        <v>8102</v>
      </c>
      <c r="C137" s="1" t="s">
        <v>8103</v>
      </c>
      <c r="D137" s="13">
        <v>2155</v>
      </c>
      <c r="E137" s="16"/>
      <c r="F137" s="18" t="s">
        <v>7984</v>
      </c>
      <c r="G137" s="1"/>
      <c r="I137" s="1"/>
    </row>
    <row r="138" spans="1:9">
      <c r="A138" s="373">
        <v>18</v>
      </c>
      <c r="B138" s="18" t="s">
        <v>8104</v>
      </c>
      <c r="C138" s="1" t="s">
        <v>8105</v>
      </c>
      <c r="D138" s="13">
        <v>1857</v>
      </c>
      <c r="E138" s="16"/>
      <c r="F138" s="18" t="s">
        <v>7007</v>
      </c>
      <c r="G138" s="1"/>
      <c r="I138" s="1"/>
    </row>
    <row r="139" spans="1:9">
      <c r="A139" s="373">
        <v>19</v>
      </c>
      <c r="B139" s="17" t="s">
        <v>8106</v>
      </c>
      <c r="C139" s="1" t="s">
        <v>8107</v>
      </c>
      <c r="D139" s="13">
        <v>1927</v>
      </c>
      <c r="E139" s="16"/>
      <c r="F139" s="18" t="s">
        <v>7007</v>
      </c>
      <c r="G139" s="1"/>
      <c r="I139" s="1"/>
    </row>
    <row r="140" spans="1:9">
      <c r="A140" s="373">
        <v>20</v>
      </c>
      <c r="B140" s="18" t="s">
        <v>8108</v>
      </c>
      <c r="C140" s="1" t="s">
        <v>8109</v>
      </c>
      <c r="D140" s="13">
        <v>2082</v>
      </c>
      <c r="E140" s="16"/>
      <c r="F140" s="18" t="s">
        <v>7984</v>
      </c>
      <c r="G140" s="1"/>
      <c r="I140" s="1"/>
    </row>
    <row r="141" spans="1:9">
      <c r="A141" s="373">
        <v>21</v>
      </c>
      <c r="B141" s="17" t="s">
        <v>8110</v>
      </c>
      <c r="C141" s="1" t="s">
        <v>8111</v>
      </c>
      <c r="D141" s="13">
        <v>2032</v>
      </c>
      <c r="E141" s="16"/>
      <c r="F141" s="18" t="s">
        <v>7007</v>
      </c>
      <c r="G141" s="1"/>
      <c r="I141" s="1"/>
    </row>
    <row r="142" spans="1:9">
      <c r="A142" s="373">
        <v>22</v>
      </c>
      <c r="B142" s="18" t="s">
        <v>8112</v>
      </c>
      <c r="C142" s="1" t="s">
        <v>8113</v>
      </c>
      <c r="D142" s="13">
        <v>6511</v>
      </c>
      <c r="E142" s="16"/>
      <c r="F142" s="18" t="s">
        <v>7984</v>
      </c>
      <c r="G142" s="1"/>
      <c r="I142" s="1"/>
    </row>
    <row r="143" spans="1:9">
      <c r="A143" s="373">
        <v>23</v>
      </c>
      <c r="B143" s="18" t="s">
        <v>8114</v>
      </c>
      <c r="C143" s="1" t="s">
        <v>8115</v>
      </c>
      <c r="D143" s="13">
        <v>2204</v>
      </c>
      <c r="E143" s="16"/>
      <c r="F143" s="18" t="s">
        <v>7984</v>
      </c>
      <c r="G143" s="1"/>
      <c r="I143" s="1"/>
    </row>
    <row r="144" spans="1:9">
      <c r="A144" s="373">
        <v>24</v>
      </c>
      <c r="B144" s="18" t="s">
        <v>8116</v>
      </c>
      <c r="C144" s="1" t="s">
        <v>8117</v>
      </c>
      <c r="D144" s="13">
        <v>2180</v>
      </c>
      <c r="E144" s="16"/>
      <c r="F144" s="18" t="s">
        <v>7007</v>
      </c>
      <c r="H144" s="375"/>
      <c r="I144" s="1"/>
    </row>
    <row r="145" spans="1:9">
      <c r="A145" s="373">
        <v>25</v>
      </c>
      <c r="B145" s="18" t="s">
        <v>8118</v>
      </c>
      <c r="C145" s="21" t="s">
        <v>8119</v>
      </c>
      <c r="D145" s="13">
        <v>2085</v>
      </c>
      <c r="E145" s="16"/>
      <c r="F145" s="18" t="s">
        <v>7990</v>
      </c>
      <c r="H145" s="375"/>
      <c r="I145" s="1"/>
    </row>
    <row r="146" spans="1:9">
      <c r="A146" s="373">
        <v>26</v>
      </c>
      <c r="B146" s="18" t="s">
        <v>8120</v>
      </c>
      <c r="C146" s="1" t="s">
        <v>8121</v>
      </c>
      <c r="D146" s="13">
        <v>2312</v>
      </c>
      <c r="E146" s="16"/>
      <c r="F146" s="18" t="s">
        <v>7984</v>
      </c>
      <c r="G146" s="1"/>
      <c r="I146" s="1"/>
    </row>
    <row r="147" spans="1:9">
      <c r="A147" s="373">
        <v>27</v>
      </c>
      <c r="B147" s="18" t="s">
        <v>8122</v>
      </c>
      <c r="C147" s="1" t="s">
        <v>8123</v>
      </c>
      <c r="D147" s="13">
        <v>3880</v>
      </c>
      <c r="E147" s="16"/>
      <c r="F147" s="18" t="s">
        <v>7984</v>
      </c>
      <c r="G147" s="1"/>
      <c r="I147" s="1"/>
    </row>
    <row r="148" spans="1:9">
      <c r="A148" s="373">
        <v>28</v>
      </c>
      <c r="B148" s="18" t="s">
        <v>8124</v>
      </c>
      <c r="C148" s="1" t="s">
        <v>8125</v>
      </c>
      <c r="D148" s="13">
        <v>3850</v>
      </c>
      <c r="E148" s="16"/>
      <c r="F148" s="18" t="s">
        <v>7984</v>
      </c>
      <c r="G148" s="1"/>
      <c r="I148" s="1"/>
    </row>
    <row r="149" spans="1:9">
      <c r="A149" s="373">
        <v>29</v>
      </c>
      <c r="B149" s="18" t="s">
        <v>8126</v>
      </c>
      <c r="C149" s="1" t="s">
        <v>8127</v>
      </c>
      <c r="D149" s="13">
        <v>3920</v>
      </c>
      <c r="E149" s="16"/>
      <c r="F149" s="18" t="s">
        <v>7984</v>
      </c>
      <c r="G149" s="1"/>
      <c r="I149" s="1"/>
    </row>
    <row r="150" spans="1:9">
      <c r="A150" s="373">
        <v>30</v>
      </c>
      <c r="B150" s="18" t="s">
        <v>8128</v>
      </c>
      <c r="C150" s="1" t="s">
        <v>8129</v>
      </c>
      <c r="D150" s="13">
        <v>1880</v>
      </c>
      <c r="E150" s="16"/>
      <c r="F150" s="18" t="s">
        <v>7990</v>
      </c>
      <c r="G150" s="1"/>
      <c r="I150" s="1"/>
    </row>
    <row r="151" spans="1:9">
      <c r="A151" s="16"/>
      <c r="B151" s="16"/>
      <c r="D151" s="367"/>
      <c r="E151" s="16"/>
      <c r="F151" s="16"/>
    </row>
    <row r="152" spans="1:9">
      <c r="A152" s="18" t="s">
        <v>8014</v>
      </c>
      <c r="B152" s="16"/>
      <c r="D152" s="367">
        <f>D129</f>
        <v>2173</v>
      </c>
      <c r="E152" s="16"/>
      <c r="F152" s="16"/>
    </row>
    <row r="153" spans="1:9">
      <c r="A153" s="18" t="s">
        <v>7984</v>
      </c>
      <c r="D153" s="366">
        <f>SUM(D121:D125)+SUM(D130:D133)+D136+D137+D140+D142+D143+SUM(D146:D149)</f>
        <v>75023</v>
      </c>
      <c r="E153" s="16"/>
      <c r="F153" s="16"/>
    </row>
    <row r="154" spans="1:9">
      <c r="A154" s="18" t="s">
        <v>7308</v>
      </c>
      <c r="D154" s="366">
        <f>D126+D127+D138+D139+D141+D144</f>
        <v>14346</v>
      </c>
      <c r="E154" s="16"/>
      <c r="F154" s="16"/>
    </row>
    <row r="155" spans="1:9">
      <c r="A155" s="18" t="s">
        <v>8130</v>
      </c>
      <c r="D155" s="366">
        <f>D128+D145+D150</f>
        <v>5876</v>
      </c>
      <c r="E155" s="16"/>
      <c r="F155" s="16"/>
    </row>
    <row r="156" spans="1:9">
      <c r="A156" s="18" t="s">
        <v>8131</v>
      </c>
      <c r="D156" s="366">
        <f>D134+D135</f>
        <v>3737</v>
      </c>
      <c r="E156" s="16"/>
      <c r="F156" s="16"/>
    </row>
    <row r="157" spans="1:9">
      <c r="A157" s="18"/>
      <c r="B157" s="18"/>
      <c r="D157" s="374"/>
      <c r="E157" s="16"/>
      <c r="F157" s="16"/>
    </row>
    <row r="158" spans="1:9">
      <c r="A158" s="17" t="s">
        <v>8132</v>
      </c>
      <c r="D158" s="374"/>
      <c r="E158" s="16"/>
      <c r="F158" s="16"/>
    </row>
    <row r="159" spans="1:9">
      <c r="A159" s="17" t="s">
        <v>8133</v>
      </c>
      <c r="D159" s="374"/>
      <c r="E159" s="16"/>
      <c r="F159" s="16"/>
    </row>
    <row r="160" spans="1:9">
      <c r="A160" s="18"/>
      <c r="B160" s="18"/>
      <c r="D160" s="374"/>
      <c r="E160" s="16"/>
      <c r="F160" s="16"/>
    </row>
    <row r="161" spans="1:9">
      <c r="A161" s="18"/>
      <c r="B161" s="18"/>
      <c r="D161" s="374"/>
      <c r="E161" s="16"/>
      <c r="F161" s="16"/>
    </row>
    <row r="162" spans="1:9">
      <c r="A162" s="16"/>
      <c r="B162" s="16"/>
      <c r="D162" s="10" t="s">
        <v>285</v>
      </c>
      <c r="E162" s="249"/>
      <c r="F162" s="5" t="s">
        <v>4116</v>
      </c>
    </row>
    <row r="163" spans="1:9">
      <c r="A163" s="16"/>
      <c r="B163" s="16"/>
      <c r="C163" s="16"/>
      <c r="D163" s="39">
        <v>2016</v>
      </c>
      <c r="E163" s="40"/>
      <c r="F163" s="41" t="s">
        <v>286</v>
      </c>
    </row>
    <row r="164" spans="1:9">
      <c r="A164" s="18" t="s">
        <v>8134</v>
      </c>
      <c r="C164" s="16"/>
      <c r="D164" s="366">
        <f t="shared" ref="D164" si="41">SUM(D165:D179)</f>
        <v>69825</v>
      </c>
      <c r="E164" s="16"/>
      <c r="F164" s="16"/>
    </row>
    <row r="165" spans="1:9">
      <c r="A165" s="373">
        <v>1</v>
      </c>
      <c r="B165" s="18" t="s">
        <v>8135</v>
      </c>
      <c r="C165" s="1" t="s">
        <v>8136</v>
      </c>
      <c r="D165" s="13">
        <v>3639</v>
      </c>
      <c r="E165" s="16"/>
      <c r="F165" s="18" t="s">
        <v>7985</v>
      </c>
      <c r="G165" s="1"/>
      <c r="I165" s="1"/>
    </row>
    <row r="166" spans="1:9">
      <c r="A166" s="373">
        <v>2</v>
      </c>
      <c r="B166" s="18" t="s">
        <v>8137</v>
      </c>
      <c r="C166" s="1" t="s">
        <v>8138</v>
      </c>
      <c r="D166" s="13">
        <v>3437</v>
      </c>
      <c r="E166" s="16"/>
      <c r="F166" s="18" t="s">
        <v>7985</v>
      </c>
      <c r="G166" s="1"/>
      <c r="I166" s="1"/>
    </row>
    <row r="167" spans="1:9">
      <c r="A167" s="373">
        <v>3</v>
      </c>
      <c r="B167" s="18" t="s">
        <v>8139</v>
      </c>
      <c r="C167" s="1" t="s">
        <v>8140</v>
      </c>
      <c r="D167" s="13">
        <v>4927</v>
      </c>
      <c r="E167" s="16"/>
      <c r="F167" s="18" t="s">
        <v>7985</v>
      </c>
      <c r="G167" s="1"/>
      <c r="I167" s="1"/>
    </row>
    <row r="168" spans="1:9">
      <c r="A168" s="373">
        <v>4</v>
      </c>
      <c r="B168" s="18" t="s">
        <v>8141</v>
      </c>
      <c r="C168" s="1" t="s">
        <v>8142</v>
      </c>
      <c r="D168" s="13">
        <v>5584</v>
      </c>
      <c r="E168" s="16"/>
      <c r="F168" s="18" t="s">
        <v>7985</v>
      </c>
      <c r="G168" s="1"/>
      <c r="I168" s="1"/>
    </row>
    <row r="169" spans="1:9">
      <c r="A169" s="373">
        <v>5</v>
      </c>
      <c r="B169" s="18" t="s">
        <v>8143</v>
      </c>
      <c r="C169" s="1" t="s">
        <v>8144</v>
      </c>
      <c r="D169" s="13">
        <v>6243</v>
      </c>
      <c r="E169" s="16"/>
      <c r="F169" s="18" t="s">
        <v>7985</v>
      </c>
      <c r="G169" s="1"/>
      <c r="I169" s="1"/>
    </row>
    <row r="170" spans="1:9">
      <c r="A170" s="373">
        <v>6</v>
      </c>
      <c r="B170" s="18" t="s">
        <v>8145</v>
      </c>
      <c r="C170" s="1" t="s">
        <v>8146</v>
      </c>
      <c r="D170" s="13">
        <v>3987</v>
      </c>
      <c r="E170" s="16"/>
      <c r="F170" s="18" t="s">
        <v>7985</v>
      </c>
      <c r="G170" s="1"/>
      <c r="I170" s="1"/>
    </row>
    <row r="171" spans="1:9">
      <c r="A171" s="373">
        <v>7</v>
      </c>
      <c r="B171" s="18" t="s">
        <v>8147</v>
      </c>
      <c r="C171" s="1" t="s">
        <v>8148</v>
      </c>
      <c r="D171" s="13">
        <v>4742</v>
      </c>
      <c r="E171" s="16"/>
      <c r="F171" s="18" t="s">
        <v>7985</v>
      </c>
      <c r="I171" s="1"/>
    </row>
    <row r="172" spans="1:9">
      <c r="A172" s="373">
        <v>8</v>
      </c>
      <c r="B172" s="18" t="s">
        <v>8149</v>
      </c>
      <c r="C172" s="1" t="s">
        <v>8150</v>
      </c>
      <c r="D172" s="13">
        <v>3462</v>
      </c>
      <c r="E172" s="16"/>
      <c r="F172" s="18" t="s">
        <v>7985</v>
      </c>
      <c r="I172" s="1"/>
    </row>
    <row r="173" spans="1:9">
      <c r="A173" s="373">
        <v>9</v>
      </c>
      <c r="B173" s="18" t="s">
        <v>8151</v>
      </c>
      <c r="C173" s="1" t="s">
        <v>8152</v>
      </c>
      <c r="D173" s="13">
        <v>5622</v>
      </c>
      <c r="E173" s="16"/>
      <c r="F173" s="18" t="s">
        <v>7985</v>
      </c>
      <c r="I173" s="1"/>
    </row>
    <row r="174" spans="1:9">
      <c r="A174" s="373">
        <v>10</v>
      </c>
      <c r="B174" s="18" t="s">
        <v>8153</v>
      </c>
      <c r="C174" s="1" t="s">
        <v>8154</v>
      </c>
      <c r="D174" s="13">
        <v>4936</v>
      </c>
      <c r="E174" s="16"/>
      <c r="F174" s="18" t="s">
        <v>7985</v>
      </c>
      <c r="I174" s="1"/>
    </row>
    <row r="175" spans="1:9">
      <c r="A175" s="373">
        <v>11</v>
      </c>
      <c r="B175" s="18" t="s">
        <v>8155</v>
      </c>
      <c r="C175" s="1" t="s">
        <v>8156</v>
      </c>
      <c r="D175" s="13">
        <v>3648</v>
      </c>
      <c r="E175" s="16"/>
      <c r="F175" s="18" t="s">
        <v>7985</v>
      </c>
      <c r="G175" s="1"/>
      <c r="I175" s="1"/>
    </row>
    <row r="176" spans="1:9">
      <c r="A176" s="373">
        <v>12</v>
      </c>
      <c r="B176" s="18" t="s">
        <v>8157</v>
      </c>
      <c r="C176" s="1" t="s">
        <v>8158</v>
      </c>
      <c r="D176" s="13">
        <v>4841</v>
      </c>
      <c r="E176" s="16"/>
      <c r="F176" s="18" t="s">
        <v>7985</v>
      </c>
      <c r="G176" s="1"/>
      <c r="I176" s="1"/>
    </row>
    <row r="177" spans="1:9">
      <c r="A177" s="373">
        <v>13</v>
      </c>
      <c r="B177" s="18" t="s">
        <v>8159</v>
      </c>
      <c r="C177" s="1" t="s">
        <v>8160</v>
      </c>
      <c r="D177" s="13">
        <v>5212</v>
      </c>
      <c r="E177" s="16"/>
      <c r="F177" s="18" t="s">
        <v>7985</v>
      </c>
      <c r="G177" s="1"/>
      <c r="I177" s="1"/>
    </row>
    <row r="178" spans="1:9">
      <c r="A178" s="373">
        <v>14</v>
      </c>
      <c r="B178" s="18" t="s">
        <v>8161</v>
      </c>
      <c r="C178" s="1" t="s">
        <v>8162</v>
      </c>
      <c r="D178" s="13">
        <v>5774</v>
      </c>
      <c r="E178" s="16"/>
      <c r="F178" s="18" t="s">
        <v>7985</v>
      </c>
      <c r="G178" s="1"/>
      <c r="I178" s="1"/>
    </row>
    <row r="179" spans="1:9">
      <c r="A179" s="373">
        <v>15</v>
      </c>
      <c r="B179" s="18" t="s">
        <v>8163</v>
      </c>
      <c r="C179" s="1" t="s">
        <v>8164</v>
      </c>
      <c r="D179" s="13">
        <v>3771</v>
      </c>
      <c r="E179" s="16"/>
      <c r="F179" s="18" t="s">
        <v>7985</v>
      </c>
      <c r="G179" s="1"/>
      <c r="I179" s="1"/>
    </row>
    <row r="180" spans="1:9">
      <c r="A180" s="18"/>
      <c r="B180" s="18"/>
      <c r="D180" s="366"/>
      <c r="E180" s="16"/>
      <c r="F180" s="18"/>
    </row>
    <row r="181" spans="1:9">
      <c r="A181" s="18" t="s">
        <v>7985</v>
      </c>
      <c r="D181" s="366">
        <f t="shared" ref="D181" si="42">SUM(D165:D179)</f>
        <v>69825</v>
      </c>
      <c r="E181" s="16"/>
      <c r="F181" s="18"/>
    </row>
    <row r="182" spans="1:9">
      <c r="A182" s="16"/>
      <c r="B182" s="16"/>
      <c r="D182" s="16"/>
      <c r="E182" s="16"/>
      <c r="F182" s="16"/>
    </row>
    <row r="183" spans="1:9">
      <c r="A183" s="17" t="s">
        <v>8165</v>
      </c>
      <c r="D183" s="374"/>
      <c r="E183" s="16"/>
      <c r="F183" s="16"/>
    </row>
    <row r="184" spans="1:9">
      <c r="A184" s="18"/>
      <c r="B184" s="18"/>
      <c r="D184" s="374"/>
      <c r="E184" s="16"/>
      <c r="F184" s="16"/>
    </row>
    <row r="185" spans="1:9">
      <c r="A185" s="18"/>
      <c r="B185" s="18"/>
      <c r="D185" s="374"/>
      <c r="E185" s="16"/>
      <c r="F185" s="16"/>
    </row>
    <row r="186" spans="1:9">
      <c r="A186" s="16"/>
      <c r="B186" s="16"/>
      <c r="D186" s="10" t="s">
        <v>285</v>
      </c>
      <c r="E186" s="249"/>
      <c r="F186" s="5" t="s">
        <v>4116</v>
      </c>
    </row>
    <row r="187" spans="1:9">
      <c r="A187" s="16"/>
      <c r="B187" s="16"/>
      <c r="D187" s="39">
        <v>2016</v>
      </c>
      <c r="E187" s="40"/>
      <c r="F187" s="41" t="s">
        <v>286</v>
      </c>
    </row>
    <row r="188" spans="1:9">
      <c r="A188" s="18" t="s">
        <v>8166</v>
      </c>
      <c r="D188" s="366">
        <f t="shared" ref="D188" si="43">SUM(D189:D212)</f>
        <v>95635</v>
      </c>
      <c r="E188" s="16"/>
      <c r="F188" s="16"/>
    </row>
    <row r="189" spans="1:9">
      <c r="A189" s="373">
        <v>1</v>
      </c>
      <c r="B189" s="18" t="s">
        <v>3202</v>
      </c>
      <c r="C189" s="1" t="s">
        <v>8167</v>
      </c>
      <c r="D189" s="7">
        <v>2045</v>
      </c>
      <c r="E189" s="16"/>
      <c r="F189" s="18" t="s">
        <v>7007</v>
      </c>
      <c r="G189" s="1"/>
      <c r="I189" s="1"/>
    </row>
    <row r="190" spans="1:9">
      <c r="A190" s="373">
        <v>2</v>
      </c>
      <c r="B190" s="18" t="s">
        <v>8168</v>
      </c>
      <c r="C190" s="1" t="s">
        <v>8169</v>
      </c>
      <c r="D190" s="7">
        <v>2251</v>
      </c>
      <c r="E190" s="16"/>
      <c r="F190" s="18" t="s">
        <v>7007</v>
      </c>
      <c r="G190" s="1"/>
      <c r="I190" s="1"/>
    </row>
    <row r="191" spans="1:9">
      <c r="A191" s="373">
        <v>3</v>
      </c>
      <c r="B191" s="18" t="s">
        <v>8170</v>
      </c>
      <c r="C191" s="1" t="s">
        <v>8171</v>
      </c>
      <c r="D191" s="7">
        <v>5647</v>
      </c>
      <c r="E191" s="16"/>
      <c r="F191" s="18" t="s">
        <v>7007</v>
      </c>
      <c r="G191" s="1"/>
      <c r="I191" s="1"/>
    </row>
    <row r="192" spans="1:9">
      <c r="A192" s="373">
        <v>4</v>
      </c>
      <c r="B192" s="18" t="s">
        <v>8172</v>
      </c>
      <c r="C192" s="1" t="s">
        <v>8173</v>
      </c>
      <c r="D192" s="7">
        <v>1772</v>
      </c>
      <c r="E192" s="16"/>
      <c r="F192" s="18" t="s">
        <v>7986</v>
      </c>
      <c r="G192" s="1"/>
      <c r="I192" s="1"/>
    </row>
    <row r="193" spans="1:9">
      <c r="A193" s="373">
        <v>5</v>
      </c>
      <c r="B193" s="18" t="s">
        <v>8174</v>
      </c>
      <c r="C193" s="1" t="s">
        <v>8175</v>
      </c>
      <c r="D193" s="7">
        <v>5004</v>
      </c>
      <c r="E193" s="16"/>
      <c r="F193" s="18" t="s">
        <v>7986</v>
      </c>
      <c r="G193" s="1"/>
      <c r="I193" s="1"/>
    </row>
    <row r="194" spans="1:9">
      <c r="A194" s="373">
        <v>6</v>
      </c>
      <c r="B194" s="17" t="s">
        <v>8176</v>
      </c>
      <c r="C194" s="1" t="s">
        <v>8177</v>
      </c>
      <c r="D194" s="8">
        <v>2107</v>
      </c>
      <c r="E194" s="16"/>
      <c r="F194" s="18" t="s">
        <v>7990</v>
      </c>
      <c r="G194" s="1"/>
      <c r="I194" s="1"/>
    </row>
    <row r="195" spans="1:9">
      <c r="A195" s="373">
        <v>7</v>
      </c>
      <c r="B195" s="18" t="s">
        <v>8178</v>
      </c>
      <c r="C195" s="1" t="s">
        <v>8179</v>
      </c>
      <c r="D195" s="7">
        <v>1949</v>
      </c>
      <c r="E195" s="16"/>
      <c r="F195" s="18" t="s">
        <v>7007</v>
      </c>
      <c r="G195" s="1"/>
      <c r="I195" s="1"/>
    </row>
    <row r="196" spans="1:9">
      <c r="A196" s="373">
        <v>8</v>
      </c>
      <c r="B196" s="18" t="s">
        <v>8180</v>
      </c>
      <c r="C196" s="1" t="s">
        <v>8181</v>
      </c>
      <c r="D196" s="7">
        <v>5971</v>
      </c>
      <c r="E196" s="16"/>
      <c r="F196" s="18" t="s">
        <v>7986</v>
      </c>
      <c r="G196" s="1"/>
      <c r="I196" s="1"/>
    </row>
    <row r="197" spans="1:9">
      <c r="A197" s="373">
        <v>9</v>
      </c>
      <c r="B197" s="18" t="s">
        <v>8182</v>
      </c>
      <c r="C197" s="1" t="s">
        <v>8183</v>
      </c>
      <c r="D197" s="7">
        <v>5916</v>
      </c>
      <c r="E197" s="16"/>
      <c r="F197" s="18" t="s">
        <v>7986</v>
      </c>
      <c r="G197" s="1"/>
      <c r="I197" s="1"/>
    </row>
    <row r="198" spans="1:9">
      <c r="A198" s="373">
        <v>10</v>
      </c>
      <c r="B198" s="18" t="s">
        <v>8184</v>
      </c>
      <c r="C198" s="1" t="s">
        <v>8185</v>
      </c>
      <c r="D198" s="7">
        <v>3546</v>
      </c>
      <c r="E198" s="16"/>
      <c r="F198" s="18" t="s">
        <v>7986</v>
      </c>
      <c r="G198" s="1"/>
      <c r="I198" s="1"/>
    </row>
    <row r="199" spans="1:9">
      <c r="A199" s="373">
        <v>11</v>
      </c>
      <c r="B199" s="18" t="s">
        <v>8186</v>
      </c>
      <c r="C199" s="1" t="s">
        <v>8187</v>
      </c>
      <c r="D199" s="7">
        <v>3587</v>
      </c>
      <c r="E199" s="16"/>
      <c r="F199" s="18" t="s">
        <v>7986</v>
      </c>
      <c r="G199" s="1"/>
      <c r="I199" s="1"/>
    </row>
    <row r="200" spans="1:9">
      <c r="A200" s="373">
        <v>12</v>
      </c>
      <c r="B200" s="18" t="s">
        <v>8188</v>
      </c>
      <c r="C200" s="1" t="s">
        <v>8189</v>
      </c>
      <c r="D200" s="7">
        <v>5829</v>
      </c>
      <c r="E200" s="16"/>
      <c r="F200" s="18" t="s">
        <v>7986</v>
      </c>
      <c r="G200" s="1"/>
      <c r="I200" s="1"/>
    </row>
    <row r="201" spans="1:9">
      <c r="A201" s="373">
        <v>13</v>
      </c>
      <c r="B201" s="18" t="s">
        <v>8190</v>
      </c>
      <c r="C201" s="1" t="s">
        <v>8191</v>
      </c>
      <c r="D201" s="7">
        <v>5586</v>
      </c>
      <c r="E201" s="16"/>
      <c r="F201" s="18" t="s">
        <v>7986</v>
      </c>
      <c r="G201" s="1"/>
      <c r="I201" s="1"/>
    </row>
    <row r="202" spans="1:9">
      <c r="A202" s="373">
        <v>14</v>
      </c>
      <c r="B202" s="18" t="s">
        <v>8192</v>
      </c>
      <c r="C202" s="1" t="s">
        <v>8193</v>
      </c>
      <c r="D202" s="7">
        <v>1714</v>
      </c>
      <c r="E202" s="16"/>
      <c r="F202" s="18" t="s">
        <v>7986</v>
      </c>
      <c r="G202" s="1"/>
      <c r="I202" s="1"/>
    </row>
    <row r="203" spans="1:9">
      <c r="A203" s="373">
        <v>15</v>
      </c>
      <c r="B203" s="18" t="s">
        <v>8194</v>
      </c>
      <c r="C203" s="1" t="s">
        <v>8195</v>
      </c>
      <c r="D203" s="8">
        <v>3922</v>
      </c>
      <c r="E203" s="16"/>
      <c r="F203" s="18" t="s">
        <v>7990</v>
      </c>
      <c r="G203" s="1"/>
      <c r="I203" s="1"/>
    </row>
    <row r="204" spans="1:9">
      <c r="A204" s="373">
        <v>16</v>
      </c>
      <c r="B204" s="18" t="s">
        <v>8196</v>
      </c>
      <c r="C204" s="1" t="s">
        <v>8197</v>
      </c>
      <c r="D204" s="7">
        <v>4222</v>
      </c>
      <c r="E204" s="16"/>
      <c r="F204" s="18" t="s">
        <v>7007</v>
      </c>
      <c r="G204" s="1"/>
      <c r="I204" s="1"/>
    </row>
    <row r="205" spans="1:9">
      <c r="A205" s="373">
        <v>17</v>
      </c>
      <c r="B205" s="18" t="s">
        <v>8198</v>
      </c>
      <c r="C205" s="1" t="s">
        <v>8199</v>
      </c>
      <c r="D205" s="7">
        <v>5492</v>
      </c>
      <c r="E205" s="16"/>
      <c r="F205" s="18" t="s">
        <v>7007</v>
      </c>
      <c r="G205" s="1"/>
      <c r="I205" s="1"/>
    </row>
    <row r="206" spans="1:9">
      <c r="A206" s="373">
        <v>18</v>
      </c>
      <c r="B206" s="18" t="s">
        <v>8200</v>
      </c>
      <c r="C206" s="1" t="s">
        <v>8201</v>
      </c>
      <c r="D206" s="8">
        <v>5415</v>
      </c>
      <c r="E206" s="16"/>
      <c r="F206" s="18" t="s">
        <v>7007</v>
      </c>
      <c r="G206" s="1"/>
      <c r="I206" s="1"/>
    </row>
    <row r="207" spans="1:9">
      <c r="A207" s="373">
        <v>19</v>
      </c>
      <c r="B207" s="18" t="s">
        <v>8202</v>
      </c>
      <c r="C207" s="1" t="s">
        <v>8203</v>
      </c>
      <c r="D207" s="8">
        <v>5910</v>
      </c>
      <c r="E207" s="16"/>
      <c r="F207" s="18" t="s">
        <v>7007</v>
      </c>
      <c r="G207" s="1"/>
      <c r="I207" s="1"/>
    </row>
    <row r="208" spans="1:9">
      <c r="A208" s="373">
        <v>20</v>
      </c>
      <c r="B208" s="18" t="s">
        <v>8204</v>
      </c>
      <c r="C208" s="1" t="s">
        <v>8205</v>
      </c>
      <c r="D208" s="8">
        <v>3905</v>
      </c>
      <c r="E208" s="16"/>
      <c r="F208" s="18" t="s">
        <v>7007</v>
      </c>
      <c r="G208" s="1"/>
      <c r="I208" s="1"/>
    </row>
    <row r="209" spans="1:10">
      <c r="A209" s="373">
        <v>21</v>
      </c>
      <c r="B209" s="18" t="s">
        <v>8206</v>
      </c>
      <c r="C209" s="1" t="s">
        <v>8207</v>
      </c>
      <c r="D209" s="8">
        <v>4166</v>
      </c>
      <c r="E209" s="16"/>
      <c r="F209" s="18" t="s">
        <v>7007</v>
      </c>
      <c r="G209" s="1"/>
      <c r="I209" s="1"/>
    </row>
    <row r="210" spans="1:10">
      <c r="A210" s="373">
        <v>22</v>
      </c>
      <c r="B210" s="18" t="s">
        <v>8208</v>
      </c>
      <c r="C210" s="1" t="s">
        <v>8209</v>
      </c>
      <c r="D210" s="8">
        <v>4078</v>
      </c>
      <c r="E210" s="16"/>
      <c r="F210" s="18" t="s">
        <v>7007</v>
      </c>
      <c r="G210" s="1"/>
      <c r="I210" s="1"/>
    </row>
    <row r="211" spans="1:10">
      <c r="A211" s="373">
        <v>23</v>
      </c>
      <c r="B211" s="18" t="s">
        <v>8210</v>
      </c>
      <c r="C211" s="1" t="s">
        <v>8211</v>
      </c>
      <c r="D211" s="8">
        <v>3964</v>
      </c>
      <c r="E211" s="16"/>
      <c r="F211" s="18" t="s">
        <v>7007</v>
      </c>
      <c r="G211" s="1"/>
      <c r="I211" s="1"/>
    </row>
    <row r="212" spans="1:10">
      <c r="A212" s="373">
        <v>24</v>
      </c>
      <c r="B212" s="18" t="s">
        <v>8212</v>
      </c>
      <c r="C212" s="1" t="s">
        <v>8213</v>
      </c>
      <c r="D212" s="8">
        <v>1637</v>
      </c>
      <c r="E212" s="16"/>
      <c r="F212" s="18" t="s">
        <v>7007</v>
      </c>
      <c r="G212" s="1"/>
      <c r="I212" s="1"/>
    </row>
    <row r="213" spans="1:10">
      <c r="A213" s="376"/>
      <c r="B213" s="376"/>
      <c r="C213" s="18"/>
      <c r="D213" s="20"/>
      <c r="E213" s="16"/>
      <c r="F213" s="18"/>
    </row>
    <row r="214" spans="1:10">
      <c r="A214" s="18" t="s">
        <v>8214</v>
      </c>
      <c r="C214" s="18"/>
      <c r="D214" s="366">
        <f t="shared" ref="D214" si="44">D192+D193+SUM(D196:D202)</f>
        <v>38925</v>
      </c>
      <c r="E214" s="16"/>
      <c r="F214" s="18"/>
    </row>
    <row r="215" spans="1:10" s="254" customFormat="1">
      <c r="A215" s="18" t="s">
        <v>7308</v>
      </c>
      <c r="B215" s="17"/>
      <c r="D215" s="366">
        <f>SUM(D189:D191)+D195+SUM(D204:D212)</f>
        <v>50681</v>
      </c>
      <c r="E215" s="376"/>
      <c r="F215" s="376"/>
      <c r="J215" s="17"/>
    </row>
    <row r="216" spans="1:10">
      <c r="A216" s="18" t="s">
        <v>8130</v>
      </c>
      <c r="D216" s="366">
        <f t="shared" ref="D216" si="45">D194+D203</f>
        <v>6029</v>
      </c>
      <c r="E216" s="16"/>
      <c r="F216" s="16"/>
    </row>
    <row r="217" spans="1:10">
      <c r="A217" s="18"/>
      <c r="B217" s="18"/>
      <c r="E217" s="16"/>
      <c r="F217" s="16"/>
    </row>
    <row r="218" spans="1:10">
      <c r="A218" s="17" t="s">
        <v>8215</v>
      </c>
      <c r="E218" s="16"/>
      <c r="F218" s="16"/>
    </row>
    <row r="219" spans="1:10">
      <c r="A219" s="18"/>
      <c r="B219" s="18"/>
      <c r="D219" s="374"/>
      <c r="E219" s="16"/>
      <c r="F219" s="16"/>
    </row>
    <row r="220" spans="1:10">
      <c r="A220" s="18"/>
      <c r="B220" s="18"/>
      <c r="D220" s="374"/>
      <c r="E220" s="16"/>
      <c r="F220" s="16"/>
    </row>
    <row r="221" spans="1:10">
      <c r="A221" s="16"/>
      <c r="B221" s="16"/>
      <c r="D221" s="10" t="s">
        <v>285</v>
      </c>
      <c r="E221" s="249"/>
      <c r="F221" s="5" t="s">
        <v>4116</v>
      </c>
    </row>
    <row r="222" spans="1:10">
      <c r="A222" s="16"/>
      <c r="B222" s="16"/>
      <c r="D222" s="39">
        <v>2016</v>
      </c>
      <c r="E222" s="40"/>
      <c r="F222" s="41" t="s">
        <v>286</v>
      </c>
    </row>
    <row r="223" spans="1:10">
      <c r="A223" s="18" t="s">
        <v>8216</v>
      </c>
      <c r="D223" s="366">
        <f>SUM(D224:D243)</f>
        <v>101652</v>
      </c>
      <c r="E223" s="16"/>
      <c r="F223" s="16"/>
    </row>
    <row r="224" spans="1:10">
      <c r="A224" s="373">
        <v>1</v>
      </c>
      <c r="B224" s="18" t="s">
        <v>850</v>
      </c>
      <c r="C224" s="1" t="s">
        <v>8217</v>
      </c>
      <c r="D224" s="7">
        <v>5344</v>
      </c>
      <c r="E224" s="16"/>
      <c r="F224" s="18" t="s">
        <v>7989</v>
      </c>
      <c r="G224" s="1"/>
      <c r="I224" s="1"/>
    </row>
    <row r="225" spans="1:9">
      <c r="A225" s="373">
        <v>2</v>
      </c>
      <c r="B225" s="18" t="s">
        <v>8218</v>
      </c>
      <c r="C225" s="1" t="s">
        <v>8219</v>
      </c>
      <c r="D225" s="7">
        <v>5128</v>
      </c>
      <c r="E225" s="16"/>
      <c r="F225" s="18" t="s">
        <v>7989</v>
      </c>
      <c r="G225" s="1"/>
      <c r="I225" s="1"/>
    </row>
    <row r="226" spans="1:9">
      <c r="A226" s="373">
        <v>3</v>
      </c>
      <c r="B226" s="18" t="s">
        <v>8220</v>
      </c>
      <c r="C226" s="1" t="s">
        <v>8221</v>
      </c>
      <c r="D226" s="7">
        <v>4887</v>
      </c>
      <c r="E226" s="16"/>
      <c r="F226" s="18" t="s">
        <v>7989</v>
      </c>
      <c r="G226" s="1"/>
      <c r="I226" s="1"/>
    </row>
    <row r="227" spans="1:9">
      <c r="A227" s="373">
        <v>4</v>
      </c>
      <c r="B227" s="18" t="s">
        <v>8222</v>
      </c>
      <c r="C227" s="1" t="s">
        <v>8223</v>
      </c>
      <c r="D227" s="7">
        <v>4266</v>
      </c>
      <c r="E227" s="16"/>
      <c r="F227" s="18" t="s">
        <v>7989</v>
      </c>
      <c r="G227" s="1"/>
      <c r="I227" s="1"/>
    </row>
    <row r="228" spans="1:9">
      <c r="A228" s="373">
        <v>5</v>
      </c>
      <c r="B228" s="18" t="s">
        <v>8224</v>
      </c>
      <c r="C228" s="1" t="s">
        <v>8225</v>
      </c>
      <c r="D228" s="7">
        <v>4525</v>
      </c>
      <c r="E228" s="16"/>
      <c r="F228" s="18" t="s">
        <v>7989</v>
      </c>
      <c r="G228" s="1"/>
      <c r="I228" s="1"/>
    </row>
    <row r="229" spans="1:9">
      <c r="A229" s="373">
        <v>6</v>
      </c>
      <c r="B229" s="18" t="s">
        <v>8226</v>
      </c>
      <c r="C229" s="1" t="s">
        <v>8227</v>
      </c>
      <c r="D229" s="7">
        <v>5314</v>
      </c>
      <c r="E229" s="16"/>
      <c r="F229" s="18" t="s">
        <v>7986</v>
      </c>
      <c r="G229" s="1"/>
      <c r="I229" s="1"/>
    </row>
    <row r="230" spans="1:9">
      <c r="A230" s="373">
        <v>7</v>
      </c>
      <c r="B230" s="18" t="s">
        <v>8228</v>
      </c>
      <c r="C230" s="1" t="s">
        <v>8229</v>
      </c>
      <c r="D230" s="7">
        <v>5236</v>
      </c>
      <c r="E230" s="16"/>
      <c r="F230" s="18" t="s">
        <v>7986</v>
      </c>
      <c r="G230" s="1"/>
      <c r="I230" s="1"/>
    </row>
    <row r="231" spans="1:9">
      <c r="A231" s="373">
        <v>8</v>
      </c>
      <c r="B231" s="18" t="s">
        <v>8230</v>
      </c>
      <c r="C231" s="1" t="s">
        <v>8231</v>
      </c>
      <c r="D231" s="7">
        <v>5235</v>
      </c>
      <c r="E231" s="16"/>
      <c r="F231" s="18" t="s">
        <v>7986</v>
      </c>
      <c r="G231" s="1"/>
      <c r="I231" s="1"/>
    </row>
    <row r="232" spans="1:9">
      <c r="A232" s="373">
        <v>9</v>
      </c>
      <c r="B232" s="18" t="s">
        <v>8232</v>
      </c>
      <c r="C232" s="1" t="s">
        <v>8233</v>
      </c>
      <c r="D232" s="7">
        <v>5561</v>
      </c>
      <c r="E232" s="16"/>
      <c r="F232" s="18" t="s">
        <v>7986</v>
      </c>
      <c r="G232" s="1"/>
      <c r="I232" s="1"/>
    </row>
    <row r="233" spans="1:9">
      <c r="A233" s="373">
        <v>10</v>
      </c>
      <c r="B233" s="18" t="s">
        <v>8234</v>
      </c>
      <c r="C233" s="1" t="s">
        <v>8235</v>
      </c>
      <c r="D233" s="7">
        <v>6642</v>
      </c>
      <c r="E233" s="16"/>
      <c r="F233" s="18" t="s">
        <v>7989</v>
      </c>
      <c r="G233" s="1"/>
      <c r="I233" s="1"/>
    </row>
    <row r="234" spans="1:9">
      <c r="A234" s="373">
        <v>11</v>
      </c>
      <c r="B234" s="18" t="s">
        <v>8236</v>
      </c>
      <c r="C234" s="1" t="s">
        <v>8237</v>
      </c>
      <c r="D234" s="7">
        <v>4820</v>
      </c>
      <c r="E234" s="16"/>
      <c r="F234" s="18" t="s">
        <v>7989</v>
      </c>
      <c r="G234" s="1"/>
      <c r="I234" s="1"/>
    </row>
    <row r="235" spans="1:9">
      <c r="A235" s="373">
        <v>12</v>
      </c>
      <c r="B235" s="18" t="s">
        <v>8238</v>
      </c>
      <c r="C235" s="1" t="s">
        <v>8239</v>
      </c>
      <c r="D235" s="7">
        <v>5118</v>
      </c>
      <c r="E235" s="16"/>
      <c r="F235" s="18" t="s">
        <v>7989</v>
      </c>
      <c r="G235" s="1"/>
      <c r="I235" s="1"/>
    </row>
    <row r="236" spans="1:9">
      <c r="A236" s="373">
        <v>13</v>
      </c>
      <c r="B236" s="18" t="s">
        <v>8240</v>
      </c>
      <c r="C236" s="1" t="s">
        <v>8241</v>
      </c>
      <c r="D236" s="8">
        <v>5464</v>
      </c>
      <c r="E236" s="16"/>
      <c r="F236" s="18" t="s">
        <v>7989</v>
      </c>
      <c r="G236" s="1"/>
      <c r="I236" s="1"/>
    </row>
    <row r="237" spans="1:9">
      <c r="A237" s="373">
        <v>14</v>
      </c>
      <c r="B237" s="18" t="s">
        <v>8242</v>
      </c>
      <c r="C237" s="1" t="s">
        <v>8243</v>
      </c>
      <c r="D237" s="7">
        <v>4746</v>
      </c>
      <c r="E237" s="16"/>
      <c r="F237" s="18" t="s">
        <v>7986</v>
      </c>
      <c r="G237" s="1"/>
      <c r="I237" s="1"/>
    </row>
    <row r="238" spans="1:9">
      <c r="A238" s="373">
        <v>15</v>
      </c>
      <c r="B238" s="18" t="s">
        <v>8244</v>
      </c>
      <c r="C238" s="1" t="s">
        <v>8245</v>
      </c>
      <c r="D238" s="8">
        <v>5512</v>
      </c>
      <c r="E238" s="16"/>
      <c r="F238" s="18" t="s">
        <v>7989</v>
      </c>
      <c r="G238" s="1"/>
      <c r="I238" s="1"/>
    </row>
    <row r="239" spans="1:9">
      <c r="A239" s="373">
        <v>16</v>
      </c>
      <c r="B239" s="18" t="s">
        <v>3932</v>
      </c>
      <c r="C239" s="1" t="s">
        <v>8246</v>
      </c>
      <c r="D239" s="8">
        <v>5183</v>
      </c>
      <c r="E239" s="16"/>
      <c r="F239" s="18" t="s">
        <v>7989</v>
      </c>
      <c r="G239" s="1"/>
      <c r="I239" s="1"/>
    </row>
    <row r="240" spans="1:9">
      <c r="A240" s="373">
        <v>17</v>
      </c>
      <c r="B240" s="18" t="s">
        <v>8247</v>
      </c>
      <c r="C240" s="1" t="s">
        <v>8248</v>
      </c>
      <c r="D240" s="7">
        <v>3628</v>
      </c>
      <c r="E240" s="16"/>
      <c r="F240" s="18" t="s">
        <v>7986</v>
      </c>
      <c r="G240" s="1"/>
      <c r="I240" s="1"/>
    </row>
    <row r="241" spans="1:9">
      <c r="A241" s="373">
        <v>18</v>
      </c>
      <c r="B241" s="18" t="s">
        <v>8249</v>
      </c>
      <c r="C241" s="1" t="s">
        <v>8250</v>
      </c>
      <c r="D241" s="8">
        <v>4950</v>
      </c>
      <c r="E241" s="16"/>
      <c r="F241" s="18" t="s">
        <v>7989</v>
      </c>
      <c r="G241" s="1"/>
      <c r="I241" s="1"/>
    </row>
    <row r="242" spans="1:9">
      <c r="A242" s="373">
        <v>19</v>
      </c>
      <c r="B242" s="18" t="s">
        <v>8251</v>
      </c>
      <c r="C242" s="1" t="s">
        <v>8252</v>
      </c>
      <c r="D242" s="8">
        <v>5260</v>
      </c>
      <c r="E242" s="16"/>
      <c r="F242" s="18" t="s">
        <v>7989</v>
      </c>
      <c r="G242" s="1"/>
      <c r="I242" s="1"/>
    </row>
    <row r="243" spans="1:9">
      <c r="A243" s="373">
        <v>20</v>
      </c>
      <c r="B243" s="18" t="s">
        <v>8253</v>
      </c>
      <c r="C243" s="1" t="s">
        <v>8254</v>
      </c>
      <c r="D243" s="7">
        <v>4833</v>
      </c>
      <c r="E243" s="16"/>
      <c r="F243" s="18" t="s">
        <v>7986</v>
      </c>
      <c r="G243" s="1"/>
      <c r="I243" s="1"/>
    </row>
    <row r="244" spans="1:9">
      <c r="A244" s="16"/>
      <c r="B244" s="16"/>
      <c r="D244" s="367"/>
      <c r="E244" s="16"/>
      <c r="F244" s="16"/>
    </row>
    <row r="245" spans="1:9">
      <c r="A245" s="18" t="s">
        <v>8214</v>
      </c>
      <c r="D245" s="366">
        <f t="shared" ref="D245" si="46">SUM(D229:D232)+D237+D240+D243</f>
        <v>34553</v>
      </c>
      <c r="E245" s="16"/>
      <c r="F245" s="16"/>
    </row>
    <row r="246" spans="1:9">
      <c r="A246" s="18" t="s">
        <v>8255</v>
      </c>
      <c r="D246" s="366">
        <f>SUM(D224:D227)+D228+SUM(D233:D236)+D238+D239+D241+D242</f>
        <v>67099</v>
      </c>
      <c r="E246" s="16"/>
      <c r="F246" s="16"/>
    </row>
    <row r="247" spans="1:9">
      <c r="A247" s="18"/>
      <c r="D247" s="366"/>
      <c r="E247" s="16"/>
      <c r="F247" s="16"/>
    </row>
    <row r="248" spans="1:9">
      <c r="A248" s="17" t="s">
        <v>8256</v>
      </c>
      <c r="B248" s="18"/>
      <c r="D248" s="374"/>
      <c r="E248" s="16"/>
      <c r="F248" s="16"/>
    </row>
    <row r="249" spans="1:9">
      <c r="A249" s="17" t="s">
        <v>8257</v>
      </c>
      <c r="D249" s="374"/>
      <c r="E249" s="16"/>
      <c r="F249" s="16"/>
    </row>
    <row r="250" spans="1:9">
      <c r="A250" s="17" t="s">
        <v>8258</v>
      </c>
      <c r="D250" s="374"/>
      <c r="E250" s="16"/>
      <c r="F250" s="16"/>
    </row>
    <row r="251" spans="1:9">
      <c r="A251" s="18"/>
      <c r="B251" s="18"/>
      <c r="D251" s="374"/>
      <c r="E251" s="16"/>
      <c r="F251" s="16"/>
    </row>
    <row r="252" spans="1:9">
      <c r="A252" s="18"/>
      <c r="B252" s="18"/>
      <c r="D252" s="374"/>
      <c r="E252" s="16"/>
      <c r="F252" s="16"/>
    </row>
    <row r="253" spans="1:9">
      <c r="A253" s="16"/>
      <c r="B253" s="16"/>
      <c r="D253" s="10" t="s">
        <v>285</v>
      </c>
      <c r="E253" s="249"/>
      <c r="F253" s="5" t="s">
        <v>4116</v>
      </c>
    </row>
    <row r="254" spans="1:9">
      <c r="A254" s="16"/>
      <c r="B254" s="16"/>
      <c r="D254" s="39">
        <v>2016</v>
      </c>
      <c r="E254" s="40"/>
      <c r="F254" s="41" t="s">
        <v>286</v>
      </c>
    </row>
    <row r="255" spans="1:9">
      <c r="A255" s="18" t="s">
        <v>8259</v>
      </c>
      <c r="D255" s="366">
        <f>SUM(D256:D268)</f>
        <v>59620</v>
      </c>
      <c r="E255" s="16"/>
      <c r="F255" s="16"/>
    </row>
    <row r="256" spans="1:9">
      <c r="A256" s="373">
        <v>1</v>
      </c>
      <c r="B256" s="18" t="s">
        <v>8260</v>
      </c>
      <c r="C256" s="1" t="s">
        <v>8261</v>
      </c>
      <c r="D256" s="13">
        <v>4833</v>
      </c>
      <c r="E256" s="16"/>
      <c r="F256" s="18" t="s">
        <v>7990</v>
      </c>
      <c r="G256" s="1"/>
      <c r="I256" s="1"/>
    </row>
    <row r="257" spans="1:9">
      <c r="A257" s="373">
        <v>2</v>
      </c>
      <c r="B257" s="18" t="s">
        <v>8262</v>
      </c>
      <c r="C257" s="1" t="s">
        <v>8263</v>
      </c>
      <c r="D257" s="13">
        <v>4626</v>
      </c>
      <c r="E257" s="16"/>
      <c r="F257" s="18" t="s">
        <v>7990</v>
      </c>
      <c r="G257" s="1"/>
      <c r="I257" s="1"/>
    </row>
    <row r="258" spans="1:9">
      <c r="A258" s="373">
        <v>3</v>
      </c>
      <c r="B258" s="18" t="s">
        <v>8264</v>
      </c>
      <c r="C258" s="1" t="s">
        <v>8265</v>
      </c>
      <c r="D258" s="13">
        <v>4775</v>
      </c>
      <c r="E258" s="16"/>
      <c r="F258" s="18" t="s">
        <v>7990</v>
      </c>
      <c r="G258" s="1"/>
      <c r="I258" s="1"/>
    </row>
    <row r="259" spans="1:9">
      <c r="A259" s="373">
        <v>4</v>
      </c>
      <c r="B259" s="18" t="s">
        <v>8266</v>
      </c>
      <c r="C259" s="1" t="s">
        <v>8267</v>
      </c>
      <c r="D259" s="13">
        <v>4284</v>
      </c>
      <c r="E259" s="16"/>
      <c r="F259" s="18" t="s">
        <v>7990</v>
      </c>
      <c r="G259" s="1"/>
      <c r="I259" s="1"/>
    </row>
    <row r="260" spans="1:9">
      <c r="A260" s="373">
        <v>5</v>
      </c>
      <c r="B260" s="18" t="s">
        <v>3050</v>
      </c>
      <c r="C260" s="21" t="s">
        <v>8268</v>
      </c>
      <c r="D260" s="13">
        <v>4735</v>
      </c>
      <c r="E260" s="16"/>
      <c r="F260" s="18" t="s">
        <v>7990</v>
      </c>
      <c r="G260" s="1"/>
      <c r="I260" s="1"/>
    </row>
    <row r="261" spans="1:9">
      <c r="A261" s="373">
        <v>6</v>
      </c>
      <c r="B261" s="18" t="s">
        <v>8269</v>
      </c>
      <c r="C261" s="1" t="s">
        <v>8270</v>
      </c>
      <c r="D261" s="13">
        <v>4410</v>
      </c>
      <c r="E261" s="16"/>
      <c r="F261" s="18" t="s">
        <v>7990</v>
      </c>
      <c r="G261" s="1"/>
      <c r="I261" s="1"/>
    </row>
    <row r="262" spans="1:9">
      <c r="A262" s="373">
        <v>7</v>
      </c>
      <c r="B262" s="18" t="s">
        <v>458</v>
      </c>
      <c r="C262" s="1" t="s">
        <v>8271</v>
      </c>
      <c r="D262" s="13">
        <v>5719</v>
      </c>
      <c r="E262" s="16"/>
      <c r="F262" s="18" t="s">
        <v>7990</v>
      </c>
      <c r="G262" s="1"/>
      <c r="I262" s="1"/>
    </row>
    <row r="263" spans="1:9">
      <c r="A263" s="373">
        <v>8</v>
      </c>
      <c r="B263" s="18" t="s">
        <v>8272</v>
      </c>
      <c r="C263" s="1" t="s">
        <v>8273</v>
      </c>
      <c r="D263" s="13">
        <v>4411</v>
      </c>
      <c r="E263" s="16"/>
      <c r="F263" s="18" t="s">
        <v>7990</v>
      </c>
      <c r="G263" s="1"/>
      <c r="I263" s="1"/>
    </row>
    <row r="264" spans="1:9">
      <c r="A264" s="373">
        <v>9</v>
      </c>
      <c r="B264" s="18" t="s">
        <v>8274</v>
      </c>
      <c r="C264" s="1" t="s">
        <v>8275</v>
      </c>
      <c r="D264" s="13">
        <v>4691</v>
      </c>
      <c r="E264" s="16"/>
      <c r="F264" s="18" t="s">
        <v>7990</v>
      </c>
      <c r="G264" s="1"/>
      <c r="I264" s="1"/>
    </row>
    <row r="265" spans="1:9">
      <c r="A265" s="373">
        <v>10</v>
      </c>
      <c r="B265" s="18" t="s">
        <v>8276</v>
      </c>
      <c r="C265" s="1" t="s">
        <v>8277</v>
      </c>
      <c r="D265" s="13">
        <v>4324</v>
      </c>
      <c r="E265" s="16"/>
      <c r="F265" s="18" t="s">
        <v>7990</v>
      </c>
      <c r="I265" s="1"/>
    </row>
    <row r="266" spans="1:9">
      <c r="A266" s="373">
        <v>11</v>
      </c>
      <c r="B266" s="18" t="s">
        <v>8278</v>
      </c>
      <c r="C266" s="1" t="s">
        <v>8279</v>
      </c>
      <c r="D266" s="13">
        <v>4696</v>
      </c>
      <c r="E266" s="16"/>
      <c r="F266" s="18" t="s">
        <v>7990</v>
      </c>
      <c r="I266" s="1"/>
    </row>
    <row r="267" spans="1:9">
      <c r="A267" s="373">
        <v>12</v>
      </c>
      <c r="B267" s="18" t="s">
        <v>8280</v>
      </c>
      <c r="C267" s="1" t="s">
        <v>8281</v>
      </c>
      <c r="D267" s="13">
        <v>4142</v>
      </c>
      <c r="E267" s="16"/>
      <c r="F267" s="18" t="s">
        <v>7990</v>
      </c>
      <c r="G267" s="1"/>
      <c r="I267" s="1"/>
    </row>
    <row r="268" spans="1:9">
      <c r="A268" s="373">
        <v>13</v>
      </c>
      <c r="B268" s="18" t="s">
        <v>8282</v>
      </c>
      <c r="C268" s="1" t="s">
        <v>8283</v>
      </c>
      <c r="D268" s="13">
        <v>3974</v>
      </c>
      <c r="E268" s="16"/>
      <c r="F268" s="18" t="s">
        <v>7990</v>
      </c>
      <c r="G268" s="1"/>
      <c r="I268" s="1"/>
    </row>
    <row r="269" spans="1:9">
      <c r="A269" s="16"/>
      <c r="B269" s="16"/>
      <c r="D269" s="367"/>
      <c r="E269" s="16"/>
      <c r="F269" s="16"/>
    </row>
    <row r="270" spans="1:9">
      <c r="A270" s="18" t="s">
        <v>8130</v>
      </c>
      <c r="C270" s="16"/>
      <c r="D270" s="366">
        <f>SUM(D256:D268)</f>
        <v>59620</v>
      </c>
      <c r="E270" s="16"/>
      <c r="F270" s="16"/>
    </row>
    <row r="271" spans="1:9">
      <c r="A271" s="16"/>
      <c r="B271" s="16"/>
      <c r="C271" s="16"/>
      <c r="D271" s="16"/>
      <c r="E271" s="16"/>
      <c r="F271" s="16"/>
    </row>
    <row r="272" spans="1:9">
      <c r="A272" s="17" t="s">
        <v>8284</v>
      </c>
      <c r="C272" s="16"/>
      <c r="D272" s="374"/>
      <c r="E272" s="16"/>
      <c r="F272" s="16"/>
    </row>
    <row r="273" spans="1:7">
      <c r="A273" s="17" t="s">
        <v>8133</v>
      </c>
      <c r="B273" s="18"/>
      <c r="C273" s="16"/>
      <c r="D273" s="374"/>
      <c r="E273" s="16"/>
      <c r="F273" s="16"/>
    </row>
    <row r="274" spans="1:7">
      <c r="B274" s="18"/>
      <c r="C274" s="16"/>
      <c r="D274" s="374"/>
      <c r="E274" s="16"/>
      <c r="F274" s="16"/>
    </row>
    <row r="275" spans="1:7">
      <c r="A275" s="18"/>
      <c r="B275" s="18"/>
      <c r="C275" s="16"/>
      <c r="D275" s="374"/>
      <c r="E275" s="16"/>
      <c r="F275" s="16"/>
    </row>
    <row r="276" spans="1:7">
      <c r="A276" s="16"/>
      <c r="B276" s="16"/>
      <c r="D276" s="10" t="s">
        <v>285</v>
      </c>
      <c r="E276" s="249"/>
      <c r="F276" s="5" t="s">
        <v>4116</v>
      </c>
    </row>
    <row r="277" spans="1:7">
      <c r="A277" s="16"/>
      <c r="B277" s="16"/>
      <c r="D277" s="39">
        <v>2016</v>
      </c>
      <c r="E277" s="40"/>
      <c r="F277" s="41" t="s">
        <v>286</v>
      </c>
    </row>
    <row r="278" spans="1:7">
      <c r="A278" s="18" t="s">
        <v>8285</v>
      </c>
      <c r="D278" s="366">
        <f>SUM(D279:D291)</f>
        <v>66161</v>
      </c>
      <c r="E278" s="16"/>
      <c r="F278" s="16"/>
    </row>
    <row r="279" spans="1:7">
      <c r="A279" s="373">
        <v>1</v>
      </c>
      <c r="B279" s="21" t="s">
        <v>8286</v>
      </c>
      <c r="C279" s="21" t="s">
        <v>8287</v>
      </c>
      <c r="D279" s="7">
        <v>4972</v>
      </c>
      <c r="E279" s="16"/>
      <c r="F279" s="18" t="s">
        <v>7989</v>
      </c>
      <c r="G279" s="1"/>
    </row>
    <row r="280" spans="1:7">
      <c r="A280" s="373">
        <v>2</v>
      </c>
      <c r="B280" s="21" t="s">
        <v>8288</v>
      </c>
      <c r="C280" s="21" t="s">
        <v>8289</v>
      </c>
      <c r="D280" s="7">
        <v>5006</v>
      </c>
      <c r="E280" s="16"/>
      <c r="F280" s="18" t="s">
        <v>7985</v>
      </c>
      <c r="G280" s="1"/>
    </row>
    <row r="281" spans="1:7">
      <c r="A281" s="373">
        <v>3</v>
      </c>
      <c r="B281" s="21" t="s">
        <v>8290</v>
      </c>
      <c r="C281" s="21" t="s">
        <v>8291</v>
      </c>
      <c r="D281" s="7">
        <v>5848</v>
      </c>
      <c r="F281" s="17" t="s">
        <v>7988</v>
      </c>
      <c r="G281" s="1"/>
    </row>
    <row r="282" spans="1:7">
      <c r="A282" s="373">
        <v>4</v>
      </c>
      <c r="B282" s="21" t="s">
        <v>8292</v>
      </c>
      <c r="C282" s="21" t="s">
        <v>8293</v>
      </c>
      <c r="D282" s="7">
        <v>5728</v>
      </c>
      <c r="E282" s="16"/>
      <c r="F282" s="18" t="s">
        <v>7988</v>
      </c>
      <c r="G282" s="1"/>
    </row>
    <row r="283" spans="1:7">
      <c r="A283" s="373">
        <v>5</v>
      </c>
      <c r="B283" s="21" t="s">
        <v>8294</v>
      </c>
      <c r="C283" s="21" t="s">
        <v>8295</v>
      </c>
      <c r="D283" s="7">
        <v>5147</v>
      </c>
      <c r="E283" s="16"/>
      <c r="F283" s="18" t="s">
        <v>7988</v>
      </c>
      <c r="G283" s="1"/>
    </row>
    <row r="284" spans="1:7">
      <c r="A284" s="373">
        <v>6</v>
      </c>
      <c r="B284" s="21" t="s">
        <v>8296</v>
      </c>
      <c r="C284" s="21" t="s">
        <v>8297</v>
      </c>
      <c r="D284" s="7">
        <v>5026</v>
      </c>
      <c r="E284" s="16"/>
      <c r="F284" s="18" t="s">
        <v>7988</v>
      </c>
      <c r="G284" s="1"/>
    </row>
    <row r="285" spans="1:7">
      <c r="A285" s="373">
        <v>7</v>
      </c>
      <c r="B285" s="21" t="s">
        <v>8298</v>
      </c>
      <c r="C285" s="21" t="s">
        <v>8299</v>
      </c>
      <c r="D285" s="7">
        <v>4926</v>
      </c>
      <c r="E285" s="16"/>
      <c r="F285" s="18" t="s">
        <v>7981</v>
      </c>
      <c r="G285" s="1"/>
    </row>
    <row r="286" spans="1:7">
      <c r="A286" s="373">
        <v>8</v>
      </c>
      <c r="B286" s="21" t="s">
        <v>8300</v>
      </c>
      <c r="C286" s="21" t="s">
        <v>8301</v>
      </c>
      <c r="D286" s="8">
        <v>5111</v>
      </c>
      <c r="E286" s="16"/>
      <c r="F286" s="18" t="s">
        <v>7989</v>
      </c>
      <c r="G286" s="1"/>
    </row>
    <row r="287" spans="1:7">
      <c r="A287" s="373">
        <v>9</v>
      </c>
      <c r="B287" s="21" t="s">
        <v>8302</v>
      </c>
      <c r="C287" s="21" t="s">
        <v>8303</v>
      </c>
      <c r="D287" s="7">
        <v>4571</v>
      </c>
      <c r="E287" s="16"/>
      <c r="F287" s="18" t="s">
        <v>7988</v>
      </c>
      <c r="G287" s="1"/>
    </row>
    <row r="288" spans="1:7">
      <c r="A288" s="373">
        <v>10</v>
      </c>
      <c r="B288" s="21" t="s">
        <v>8304</v>
      </c>
      <c r="C288" s="21" t="s">
        <v>8305</v>
      </c>
      <c r="D288" s="8">
        <v>4857</v>
      </c>
      <c r="E288" s="16"/>
      <c r="F288" s="18" t="s">
        <v>7991</v>
      </c>
      <c r="G288" s="1"/>
    </row>
    <row r="289" spans="1:7">
      <c r="A289" s="373">
        <v>11</v>
      </c>
      <c r="B289" s="21" t="s">
        <v>8306</v>
      </c>
      <c r="C289" s="21" t="s">
        <v>8307</v>
      </c>
      <c r="D289" s="7">
        <v>5063</v>
      </c>
      <c r="E289" s="16"/>
      <c r="F289" s="18" t="s">
        <v>7988</v>
      </c>
      <c r="G289" s="1"/>
    </row>
    <row r="290" spans="1:7">
      <c r="A290" s="373">
        <v>12</v>
      </c>
      <c r="B290" s="21" t="s">
        <v>8308</v>
      </c>
      <c r="C290" s="21" t="s">
        <v>8309</v>
      </c>
      <c r="D290" s="7">
        <v>5369</v>
      </c>
      <c r="E290" s="16"/>
      <c r="F290" s="18" t="s">
        <v>7988</v>
      </c>
      <c r="G290" s="1"/>
    </row>
    <row r="291" spans="1:7">
      <c r="A291" s="373">
        <v>13</v>
      </c>
      <c r="B291" s="21" t="s">
        <v>8310</v>
      </c>
      <c r="C291" s="21" t="s">
        <v>8311</v>
      </c>
      <c r="D291" s="7">
        <v>4537</v>
      </c>
      <c r="E291" s="16"/>
      <c r="F291" s="18" t="s">
        <v>7991</v>
      </c>
      <c r="G291" s="1"/>
    </row>
    <row r="292" spans="1:7">
      <c r="A292" s="16"/>
      <c r="B292" s="16"/>
      <c r="D292" s="367"/>
      <c r="E292" s="16"/>
      <c r="F292" s="16"/>
    </row>
    <row r="293" spans="1:7">
      <c r="A293" s="18" t="s">
        <v>8066</v>
      </c>
      <c r="B293" s="16"/>
      <c r="D293" s="367">
        <f>D285</f>
        <v>4926</v>
      </c>
      <c r="E293" s="16"/>
      <c r="F293" s="16"/>
    </row>
    <row r="294" spans="1:7">
      <c r="A294" s="18" t="s">
        <v>8312</v>
      </c>
      <c r="B294" s="16"/>
      <c r="D294" s="367">
        <f>D280</f>
        <v>5006</v>
      </c>
      <c r="E294" s="16"/>
      <c r="F294" s="16"/>
    </row>
    <row r="295" spans="1:7">
      <c r="A295" s="18" t="s">
        <v>8067</v>
      </c>
      <c r="D295" s="366">
        <f>SUM(D281:D284)+D287+D289+D290</f>
        <v>36752</v>
      </c>
      <c r="E295" s="16"/>
      <c r="F295" s="16"/>
    </row>
    <row r="296" spans="1:7">
      <c r="A296" s="18" t="s">
        <v>8255</v>
      </c>
      <c r="D296" s="366">
        <f>D279+D286</f>
        <v>10083</v>
      </c>
      <c r="E296" s="16"/>
      <c r="F296" s="16"/>
    </row>
    <row r="297" spans="1:7">
      <c r="A297" s="18" t="s">
        <v>8313</v>
      </c>
      <c r="D297" s="366">
        <f>D288+D291</f>
        <v>9394</v>
      </c>
      <c r="E297" s="16"/>
      <c r="F297" s="16"/>
    </row>
    <row r="298" spans="1:7">
      <c r="A298" s="18"/>
      <c r="B298" s="18"/>
      <c r="D298" s="374"/>
      <c r="E298" s="16"/>
      <c r="F298" s="16"/>
    </row>
    <row r="299" spans="1:7">
      <c r="A299" s="17" t="s">
        <v>8314</v>
      </c>
      <c r="D299" s="374"/>
      <c r="E299" s="16"/>
      <c r="F299" s="16"/>
    </row>
    <row r="300" spans="1:7">
      <c r="A300" s="18"/>
      <c r="B300" s="18"/>
      <c r="D300" s="374"/>
      <c r="E300" s="16"/>
      <c r="F300" s="16"/>
    </row>
    <row r="301" spans="1:7">
      <c r="A301" s="18"/>
      <c r="B301" s="18"/>
      <c r="D301" s="374"/>
      <c r="E301" s="16"/>
      <c r="F301" s="16"/>
    </row>
    <row r="302" spans="1:7">
      <c r="A302" s="16"/>
      <c r="B302" s="16"/>
      <c r="D302" s="10" t="s">
        <v>285</v>
      </c>
      <c r="E302" s="249"/>
      <c r="F302" s="5" t="s">
        <v>4116</v>
      </c>
    </row>
    <row r="303" spans="1:7">
      <c r="A303" s="16"/>
      <c r="B303" s="16"/>
      <c r="D303" s="39">
        <v>2016</v>
      </c>
      <c r="E303" s="40"/>
      <c r="F303" s="41" t="s">
        <v>286</v>
      </c>
    </row>
    <row r="304" spans="1:7">
      <c r="A304" s="18" t="s">
        <v>8315</v>
      </c>
      <c r="D304" s="366">
        <f t="shared" ref="D304" si="47">SUM(D305:D316)</f>
        <v>63484</v>
      </c>
      <c r="E304" s="16"/>
      <c r="F304" s="16"/>
    </row>
    <row r="305" spans="1:9">
      <c r="A305" s="18" t="s">
        <v>812</v>
      </c>
      <c r="B305" s="18" t="s">
        <v>8316</v>
      </c>
      <c r="C305" s="1" t="s">
        <v>8317</v>
      </c>
      <c r="D305" s="13">
        <v>4815</v>
      </c>
      <c r="E305" s="16"/>
      <c r="F305" s="18" t="s">
        <v>7991</v>
      </c>
      <c r="G305" s="1"/>
      <c r="I305" s="1"/>
    </row>
    <row r="306" spans="1:9">
      <c r="A306" s="18" t="s">
        <v>813</v>
      </c>
      <c r="B306" s="18" t="s">
        <v>888</v>
      </c>
      <c r="C306" s="1" t="s">
        <v>8318</v>
      </c>
      <c r="D306" s="13">
        <v>5543</v>
      </c>
      <c r="E306" s="16"/>
      <c r="F306" s="18" t="s">
        <v>7991</v>
      </c>
      <c r="G306" s="1"/>
      <c r="I306" s="1"/>
    </row>
    <row r="307" spans="1:9">
      <c r="A307" s="18" t="s">
        <v>814</v>
      </c>
      <c r="B307" s="18" t="s">
        <v>6455</v>
      </c>
      <c r="C307" s="1" t="s">
        <v>8319</v>
      </c>
      <c r="D307" s="13">
        <v>5624</v>
      </c>
      <c r="E307" s="16"/>
      <c r="F307" s="18" t="s">
        <v>7991</v>
      </c>
      <c r="G307" s="1"/>
      <c r="I307" s="1"/>
    </row>
    <row r="308" spans="1:9">
      <c r="A308" s="18" t="s">
        <v>815</v>
      </c>
      <c r="B308" s="18" t="s">
        <v>8320</v>
      </c>
      <c r="C308" s="1" t="s">
        <v>8321</v>
      </c>
      <c r="D308" s="13">
        <v>5518</v>
      </c>
      <c r="E308" s="16"/>
      <c r="F308" s="18" t="s">
        <v>7991</v>
      </c>
      <c r="G308" s="1"/>
      <c r="I308" s="1"/>
    </row>
    <row r="309" spans="1:9">
      <c r="A309" s="18" t="s">
        <v>816</v>
      </c>
      <c r="B309" s="18" t="s">
        <v>3666</v>
      </c>
      <c r="C309" s="1" t="s">
        <v>8322</v>
      </c>
      <c r="D309" s="13">
        <v>5679</v>
      </c>
      <c r="E309" s="16"/>
      <c r="F309" s="18" t="s">
        <v>7991</v>
      </c>
      <c r="G309" s="1"/>
      <c r="I309" s="1"/>
    </row>
    <row r="310" spans="1:9">
      <c r="A310" s="18" t="s">
        <v>826</v>
      </c>
      <c r="B310" s="18" t="s">
        <v>8323</v>
      </c>
      <c r="C310" s="1" t="s">
        <v>8324</v>
      </c>
      <c r="D310" s="13">
        <v>6002</v>
      </c>
      <c r="E310" s="16"/>
      <c r="F310" s="18" t="s">
        <v>7991</v>
      </c>
      <c r="G310" s="1"/>
      <c r="I310" s="1"/>
    </row>
    <row r="311" spans="1:9">
      <c r="A311" s="18" t="s">
        <v>827</v>
      </c>
      <c r="B311" s="18" t="s">
        <v>8325</v>
      </c>
      <c r="C311" s="1" t="s">
        <v>8326</v>
      </c>
      <c r="D311" s="13">
        <v>5054</v>
      </c>
      <c r="E311" s="16"/>
      <c r="F311" s="18" t="s">
        <v>7991</v>
      </c>
      <c r="G311" s="1"/>
      <c r="I311" s="1"/>
    </row>
    <row r="312" spans="1:9">
      <c r="A312" s="18" t="s">
        <v>828</v>
      </c>
      <c r="B312" s="18" t="s">
        <v>303</v>
      </c>
      <c r="C312" s="1" t="s">
        <v>8327</v>
      </c>
      <c r="D312" s="13">
        <v>5699</v>
      </c>
      <c r="E312" s="16"/>
      <c r="F312" s="18" t="s">
        <v>7991</v>
      </c>
      <c r="G312" s="1"/>
      <c r="I312" s="1"/>
    </row>
    <row r="313" spans="1:9">
      <c r="A313" s="18" t="s">
        <v>829</v>
      </c>
      <c r="B313" s="18" t="s">
        <v>8328</v>
      </c>
      <c r="C313" s="1" t="s">
        <v>8329</v>
      </c>
      <c r="D313" s="13">
        <v>5189</v>
      </c>
      <c r="E313" s="16"/>
      <c r="F313" s="18" t="s">
        <v>7991</v>
      </c>
      <c r="G313" s="1"/>
      <c r="I313" s="1"/>
    </row>
    <row r="314" spans="1:9" ht="15" customHeight="1">
      <c r="A314" s="18" t="s">
        <v>830</v>
      </c>
      <c r="B314" s="18" t="s">
        <v>8330</v>
      </c>
      <c r="C314" s="1" t="s">
        <v>8331</v>
      </c>
      <c r="D314" s="13">
        <v>4430</v>
      </c>
      <c r="E314" s="16"/>
      <c r="F314" s="18" t="s">
        <v>7991</v>
      </c>
      <c r="G314" s="1"/>
      <c r="I314" s="1"/>
    </row>
    <row r="315" spans="1:9" ht="15" customHeight="1">
      <c r="A315" s="18" t="s">
        <v>831</v>
      </c>
      <c r="B315" s="18" t="s">
        <v>8332</v>
      </c>
      <c r="C315" s="1" t="s">
        <v>8333</v>
      </c>
      <c r="D315" s="13">
        <v>4698</v>
      </c>
      <c r="E315" s="16"/>
      <c r="F315" s="18" t="s">
        <v>7991</v>
      </c>
      <c r="G315" s="1"/>
      <c r="I315" s="1"/>
    </row>
    <row r="316" spans="1:9" ht="15" customHeight="1">
      <c r="A316" s="18" t="s">
        <v>832</v>
      </c>
      <c r="B316" s="18" t="s">
        <v>2691</v>
      </c>
      <c r="C316" s="1" t="s">
        <v>8334</v>
      </c>
      <c r="D316" s="13">
        <v>5233</v>
      </c>
      <c r="E316" s="16"/>
      <c r="F316" s="18" t="s">
        <v>7991</v>
      </c>
      <c r="G316" s="1"/>
      <c r="I316" s="1"/>
    </row>
    <row r="317" spans="1:9" ht="15" customHeight="1">
      <c r="A317" s="16"/>
      <c r="B317" s="16"/>
      <c r="C317" s="16"/>
      <c r="D317" s="367"/>
      <c r="E317" s="16"/>
      <c r="F317" s="16"/>
    </row>
    <row r="318" spans="1:9" ht="15" customHeight="1">
      <c r="A318" s="18" t="s">
        <v>8313</v>
      </c>
      <c r="C318" s="16"/>
      <c r="D318" s="366">
        <f t="shared" ref="D318" si="48">SUM(D305:D316)</f>
        <v>63484</v>
      </c>
      <c r="E318" s="16"/>
      <c r="F318" s="16"/>
    </row>
    <row r="319" spans="1:9" ht="15" customHeight="1">
      <c r="A319" s="16"/>
      <c r="B319" s="16"/>
      <c r="C319" s="16"/>
      <c r="D319" s="16"/>
      <c r="E319" s="16"/>
      <c r="F319" s="16"/>
    </row>
    <row r="320" spans="1:9" ht="15" customHeight="1">
      <c r="A320" s="17" t="s">
        <v>8335</v>
      </c>
      <c r="C320" s="16"/>
      <c r="D320" s="374"/>
      <c r="E320" s="16"/>
      <c r="F320" s="16"/>
    </row>
    <row r="321" spans="1:9">
      <c r="A321" s="18"/>
      <c r="B321" s="18"/>
      <c r="C321" s="16"/>
      <c r="D321" s="374"/>
      <c r="E321" s="16"/>
      <c r="F321" s="16"/>
    </row>
    <row r="322" spans="1:9">
      <c r="A322" s="18"/>
      <c r="B322" s="18"/>
      <c r="D322" s="374"/>
      <c r="E322" s="16"/>
      <c r="F322" s="16"/>
    </row>
    <row r="323" spans="1:9">
      <c r="A323" s="16"/>
      <c r="B323" s="16"/>
      <c r="D323" s="10" t="s">
        <v>285</v>
      </c>
      <c r="E323" s="249"/>
      <c r="F323" s="5" t="s">
        <v>4116</v>
      </c>
    </row>
    <row r="324" spans="1:9">
      <c r="A324" s="16"/>
      <c r="B324" s="16"/>
      <c r="C324" s="16"/>
      <c r="D324" s="39">
        <v>2016</v>
      </c>
      <c r="E324" s="40"/>
      <c r="F324" s="41" t="s">
        <v>286</v>
      </c>
    </row>
    <row r="325" spans="1:9">
      <c r="A325" s="18" t="s">
        <v>8336</v>
      </c>
      <c r="C325" s="16"/>
      <c r="D325" s="366">
        <f t="shared" ref="D325" si="49">SUM(D326:D342)</f>
        <v>73296</v>
      </c>
      <c r="E325" s="16"/>
      <c r="F325" s="16"/>
    </row>
    <row r="326" spans="1:9">
      <c r="A326" s="373">
        <v>1</v>
      </c>
      <c r="B326" s="18" t="s">
        <v>8337</v>
      </c>
      <c r="C326" s="1" t="s">
        <v>8338</v>
      </c>
      <c r="D326" s="13">
        <v>4516</v>
      </c>
      <c r="E326" s="16"/>
      <c r="F326" s="18" t="s">
        <v>7992</v>
      </c>
      <c r="G326" s="1"/>
      <c r="I326" s="1"/>
    </row>
    <row r="327" spans="1:9">
      <c r="A327" s="373">
        <v>2</v>
      </c>
      <c r="B327" s="18" t="s">
        <v>8339</v>
      </c>
      <c r="C327" s="1" t="s">
        <v>8340</v>
      </c>
      <c r="D327" s="13">
        <v>4667</v>
      </c>
      <c r="E327" s="16"/>
      <c r="F327" s="18" t="s">
        <v>7992</v>
      </c>
      <c r="G327" s="1"/>
      <c r="I327" s="1"/>
    </row>
    <row r="328" spans="1:9">
      <c r="A328" s="373">
        <v>3</v>
      </c>
      <c r="B328" s="18" t="s">
        <v>8341</v>
      </c>
      <c r="C328" s="1" t="s">
        <v>8342</v>
      </c>
      <c r="D328" s="13">
        <v>5130</v>
      </c>
      <c r="E328" s="16"/>
      <c r="F328" s="18" t="s">
        <v>7992</v>
      </c>
      <c r="G328" s="1"/>
      <c r="I328" s="1"/>
    </row>
    <row r="329" spans="1:9">
      <c r="A329" s="373">
        <v>4</v>
      </c>
      <c r="B329" s="18" t="s">
        <v>8343</v>
      </c>
      <c r="C329" s="1" t="s">
        <v>8344</v>
      </c>
      <c r="D329" s="13">
        <v>4137</v>
      </c>
      <c r="E329" s="16"/>
      <c r="F329" s="18" t="s">
        <v>7992</v>
      </c>
      <c r="G329" s="1"/>
      <c r="I329" s="1"/>
    </row>
    <row r="330" spans="1:9">
      <c r="A330" s="373">
        <v>5</v>
      </c>
      <c r="B330" s="18" t="s">
        <v>8345</v>
      </c>
      <c r="C330" s="1" t="s">
        <v>8346</v>
      </c>
      <c r="D330" s="13">
        <v>4501</v>
      </c>
      <c r="E330" s="16"/>
      <c r="F330" s="18" t="s">
        <v>7992</v>
      </c>
      <c r="G330" s="1"/>
      <c r="I330" s="1"/>
    </row>
    <row r="331" spans="1:9">
      <c r="A331" s="373">
        <v>6</v>
      </c>
      <c r="B331" s="18" t="s">
        <v>8347</v>
      </c>
      <c r="C331" s="1" t="s">
        <v>8348</v>
      </c>
      <c r="D331" s="13">
        <v>3036</v>
      </c>
      <c r="E331" s="16"/>
      <c r="F331" s="18" t="s">
        <v>7992</v>
      </c>
      <c r="G331" s="1"/>
      <c r="I331" s="1"/>
    </row>
    <row r="332" spans="1:9">
      <c r="A332" s="373">
        <v>7</v>
      </c>
      <c r="B332" s="18" t="s">
        <v>8349</v>
      </c>
      <c r="C332" s="1" t="s">
        <v>8350</v>
      </c>
      <c r="D332" s="13">
        <v>3522</v>
      </c>
      <c r="E332" s="16"/>
      <c r="F332" s="18" t="s">
        <v>7992</v>
      </c>
      <c r="G332" s="1"/>
      <c r="I332" s="1"/>
    </row>
    <row r="333" spans="1:9">
      <c r="A333" s="373">
        <v>8</v>
      </c>
      <c r="B333" s="18" t="s">
        <v>8351</v>
      </c>
      <c r="C333" s="1" t="s">
        <v>8352</v>
      </c>
      <c r="D333" s="13">
        <v>5218</v>
      </c>
      <c r="E333" s="16"/>
      <c r="F333" s="18" t="s">
        <v>7992</v>
      </c>
      <c r="G333" s="1"/>
      <c r="I333" s="1"/>
    </row>
    <row r="334" spans="1:9">
      <c r="A334" s="373">
        <v>9</v>
      </c>
      <c r="B334" s="18" t="s">
        <v>8353</v>
      </c>
      <c r="C334" s="1" t="s">
        <v>8354</v>
      </c>
      <c r="D334" s="13">
        <v>4985</v>
      </c>
      <c r="E334" s="16"/>
      <c r="F334" s="18" t="s">
        <v>7992</v>
      </c>
      <c r="G334" s="1"/>
      <c r="I334" s="1"/>
    </row>
    <row r="335" spans="1:9">
      <c r="A335" s="373">
        <v>10</v>
      </c>
      <c r="B335" s="18" t="s">
        <v>8355</v>
      </c>
      <c r="C335" s="1" t="s">
        <v>8356</v>
      </c>
      <c r="D335" s="13">
        <v>4398</v>
      </c>
      <c r="E335" s="16"/>
      <c r="F335" s="18" t="s">
        <v>7992</v>
      </c>
      <c r="G335" s="1"/>
      <c r="I335" s="1"/>
    </row>
    <row r="336" spans="1:9">
      <c r="A336" s="373">
        <v>11</v>
      </c>
      <c r="B336" s="18" t="s">
        <v>8357</v>
      </c>
      <c r="C336" s="1" t="s">
        <v>8358</v>
      </c>
      <c r="D336" s="13">
        <v>4270</v>
      </c>
      <c r="E336" s="16"/>
      <c r="F336" s="18" t="s">
        <v>7979</v>
      </c>
      <c r="G336" s="1"/>
      <c r="I336" s="1"/>
    </row>
    <row r="337" spans="1:9">
      <c r="A337" s="373">
        <v>12</v>
      </c>
      <c r="B337" s="18" t="s">
        <v>8359</v>
      </c>
      <c r="C337" s="1" t="s">
        <v>8360</v>
      </c>
      <c r="D337" s="13">
        <v>4671</v>
      </c>
      <c r="E337" s="16"/>
      <c r="F337" s="18" t="s">
        <v>7992</v>
      </c>
      <c r="G337" s="1"/>
      <c r="I337" s="1"/>
    </row>
    <row r="338" spans="1:9">
      <c r="A338" s="373">
        <v>13</v>
      </c>
      <c r="B338" s="18" t="s">
        <v>8361</v>
      </c>
      <c r="C338" s="1" t="s">
        <v>8362</v>
      </c>
      <c r="D338" s="13">
        <v>5135</v>
      </c>
      <c r="E338" s="16"/>
      <c r="F338" s="18" t="s">
        <v>7992</v>
      </c>
      <c r="G338" s="1"/>
      <c r="I338" s="1"/>
    </row>
    <row r="339" spans="1:9">
      <c r="A339" s="373">
        <v>14</v>
      </c>
      <c r="B339" s="18" t="s">
        <v>8363</v>
      </c>
      <c r="C339" s="1" t="s">
        <v>8364</v>
      </c>
      <c r="D339" s="13">
        <v>4319</v>
      </c>
      <c r="E339" s="16"/>
      <c r="F339" s="18" t="s">
        <v>7992</v>
      </c>
      <c r="G339" s="1"/>
      <c r="I339" s="1"/>
    </row>
    <row r="340" spans="1:9">
      <c r="A340" s="373">
        <v>15</v>
      </c>
      <c r="B340" s="18" t="s">
        <v>8365</v>
      </c>
      <c r="C340" s="1" t="s">
        <v>8366</v>
      </c>
      <c r="D340" s="13">
        <v>2788</v>
      </c>
      <c r="E340" s="16"/>
      <c r="F340" s="18" t="s">
        <v>7992</v>
      </c>
      <c r="G340" s="1"/>
      <c r="I340" s="1"/>
    </row>
    <row r="341" spans="1:9">
      <c r="A341" s="373">
        <v>16</v>
      </c>
      <c r="B341" s="18" t="s">
        <v>8367</v>
      </c>
      <c r="C341" s="1" t="s">
        <v>8368</v>
      </c>
      <c r="D341" s="13">
        <v>4787</v>
      </c>
      <c r="E341" s="16"/>
      <c r="F341" s="18" t="s">
        <v>7992</v>
      </c>
      <c r="G341" s="1"/>
      <c r="I341" s="1"/>
    </row>
    <row r="342" spans="1:9">
      <c r="A342" s="373">
        <v>17</v>
      </c>
      <c r="B342" s="18" t="s">
        <v>8369</v>
      </c>
      <c r="C342" s="1" t="s">
        <v>8370</v>
      </c>
      <c r="D342" s="13">
        <v>3216</v>
      </c>
      <c r="E342" s="16"/>
      <c r="F342" s="18" t="s">
        <v>7992</v>
      </c>
      <c r="G342" s="1"/>
      <c r="I342" s="1"/>
    </row>
    <row r="343" spans="1:9">
      <c r="A343" s="16"/>
      <c r="B343" s="16"/>
      <c r="C343" s="16"/>
      <c r="D343" s="367"/>
      <c r="E343" s="16"/>
      <c r="F343" s="16"/>
      <c r="G343" s="16"/>
    </row>
    <row r="344" spans="1:9">
      <c r="A344" s="18" t="s">
        <v>8014</v>
      </c>
      <c r="D344" s="366">
        <f t="shared" ref="D344" si="50">D336</f>
        <v>4270</v>
      </c>
      <c r="E344" s="16"/>
      <c r="F344" s="16"/>
      <c r="G344" s="16"/>
    </row>
    <row r="345" spans="1:9">
      <c r="A345" s="18" t="s">
        <v>8131</v>
      </c>
      <c r="C345" s="16"/>
      <c r="D345" s="366">
        <f t="shared" ref="D345" si="51">SUM(D326:D335)+SUM(D337:D342)</f>
        <v>69026</v>
      </c>
      <c r="E345" s="16"/>
      <c r="F345" s="16"/>
      <c r="G345" s="16"/>
    </row>
    <row r="346" spans="1:9">
      <c r="A346" s="18"/>
      <c r="B346" s="18"/>
      <c r="C346" s="16"/>
      <c r="D346" s="374"/>
      <c r="E346" s="16"/>
      <c r="F346" s="16"/>
      <c r="G346" s="16"/>
    </row>
    <row r="347" spans="1:9">
      <c r="A347" s="17" t="s">
        <v>8371</v>
      </c>
      <c r="C347" s="16"/>
      <c r="D347" s="374"/>
      <c r="E347" s="16"/>
      <c r="F347" s="16"/>
      <c r="G347" s="16"/>
    </row>
    <row r="348" spans="1:9">
      <c r="A348" s="17" t="s">
        <v>8372</v>
      </c>
      <c r="B348" s="16"/>
      <c r="C348" s="16"/>
      <c r="D348" s="16"/>
      <c r="E348" s="16"/>
      <c r="F348" s="16"/>
      <c r="G348" s="16"/>
    </row>
    <row r="349" spans="1:9">
      <c r="A349" s="16"/>
      <c r="B349" s="16"/>
      <c r="C349" s="16"/>
      <c r="D349" s="16"/>
      <c r="E349" s="16"/>
      <c r="F349" s="16"/>
      <c r="G349" s="16"/>
    </row>
    <row r="350" spans="1:9">
      <c r="A350" s="16"/>
      <c r="B350" s="16"/>
      <c r="C350" s="16"/>
      <c r="D350" s="16"/>
      <c r="E350" s="16"/>
      <c r="F350" s="16"/>
      <c r="G350" s="16"/>
    </row>
    <row r="351" spans="1:9">
      <c r="A351" s="16"/>
      <c r="B351" s="16"/>
      <c r="D351" s="16"/>
      <c r="E351" s="16"/>
      <c r="F351" s="16"/>
      <c r="G351" s="16"/>
    </row>
    <row r="352" spans="1:9">
      <c r="A352" s="16"/>
      <c r="B352" s="16"/>
      <c r="D352" s="16"/>
      <c r="E352" s="16"/>
      <c r="F352" s="16"/>
      <c r="G352" s="16"/>
    </row>
    <row r="353" spans="1:7">
      <c r="A353" s="16"/>
      <c r="B353" s="16"/>
      <c r="D353" s="16"/>
      <c r="E353" s="16"/>
      <c r="F353" s="16"/>
      <c r="G353" s="16"/>
    </row>
  </sheetData>
  <printOptions gridLinesSet="0"/>
  <pageMargins left="0.78740157480314965" right="0" top="0.51181102362204722" bottom="0.51181102362204722" header="0.51181102362204722" footer="0.51181102362204722"/>
  <pageSetup paperSize="9" scale="69" orientation="portrait" horizontalDpi="300" verticalDpi="300" r:id="rId1"/>
  <headerFooter alignWithMargins="0">
    <oddFooter>&amp;C&amp;"Times New Roman,Regular"&amp;8&amp;P of &amp;N</oddFooter>
  </headerFooter>
  <rowBreaks count="1" manualBreakCount="1">
    <brk id="117" max="10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0"/>
  <sheetViews>
    <sheetView showGridLines="0" zoomScaleNormal="100" workbookViewId="0"/>
  </sheetViews>
  <sheetFormatPr defaultColWidth="12.59765625" defaultRowHeight="14.5"/>
  <cols>
    <col min="1" max="1" width="4.8984375" style="535" customWidth="1"/>
    <col min="2" max="2" width="35.8984375" style="535" customWidth="1"/>
    <col min="3" max="3" width="11.59765625" style="535" customWidth="1"/>
    <col min="4" max="4" width="10" style="535" customWidth="1"/>
    <col min="5" max="5" width="2.296875" style="535" customWidth="1"/>
    <col min="6" max="6" width="32" style="535" bestFit="1" customWidth="1"/>
    <col min="7" max="16384" width="12.59765625" style="535"/>
  </cols>
  <sheetData>
    <row r="1" spans="1:6">
      <c r="A1" s="534" t="s">
        <v>9176</v>
      </c>
      <c r="D1" s="536">
        <v>2016</v>
      </c>
    </row>
    <row r="3" spans="1:6">
      <c r="A3" s="534" t="s">
        <v>9884</v>
      </c>
      <c r="D3" s="537">
        <f t="shared" ref="D3" si="0">SUM(D17:D38)</f>
        <v>183803</v>
      </c>
    </row>
    <row r="5" spans="1:6">
      <c r="A5" s="534" t="s">
        <v>9885</v>
      </c>
      <c r="D5" s="537">
        <f>D17+D18+D21+D24+D30+D32+D35+D37+D38</f>
        <v>78097</v>
      </c>
      <c r="F5" s="534" t="s">
        <v>9557</v>
      </c>
    </row>
    <row r="6" spans="1:6">
      <c r="D6" s="538"/>
    </row>
    <row r="7" spans="1:6">
      <c r="A7" s="521" t="s">
        <v>9556</v>
      </c>
      <c r="D7" s="538">
        <f>EALING!D15</f>
        <v>18979</v>
      </c>
      <c r="F7" s="535" t="s">
        <v>9552</v>
      </c>
    </row>
    <row r="8" spans="1:6" ht="15" thickBot="1">
      <c r="D8" s="539">
        <f>D19+D23+D25+D26+D31+D33+D34</f>
        <v>54835</v>
      </c>
      <c r="F8" s="534" t="s">
        <v>9557</v>
      </c>
    </row>
    <row r="9" spans="1:6" ht="15" thickBot="1">
      <c r="D9" s="540">
        <f>D7+D8</f>
        <v>73814</v>
      </c>
    </row>
    <row r="10" spans="1:6">
      <c r="D10" s="538"/>
    </row>
    <row r="11" spans="1:6">
      <c r="A11" s="521" t="s">
        <v>9805</v>
      </c>
      <c r="D11" s="538">
        <f>HARROW!D11</f>
        <v>23166</v>
      </c>
      <c r="F11" s="535" t="s">
        <v>9311</v>
      </c>
    </row>
    <row r="12" spans="1:6" ht="15" thickBot="1">
      <c r="A12" s="534"/>
      <c r="D12" s="539">
        <f>D20+D22+SUM(D27:D29)+D36</f>
        <v>50871</v>
      </c>
      <c r="F12" s="534" t="s">
        <v>9557</v>
      </c>
    </row>
    <row r="13" spans="1:6" ht="15" thickBot="1">
      <c r="A13" s="534"/>
      <c r="D13" s="541">
        <f t="shared" ref="D13" si="1">D11+D12</f>
        <v>74037</v>
      </c>
      <c r="F13" s="534"/>
    </row>
    <row r="14" spans="1:6">
      <c r="D14" s="538"/>
    </row>
    <row r="15" spans="1:6">
      <c r="A15" s="534" t="s">
        <v>1041</v>
      </c>
      <c r="D15" s="537">
        <f>D5+D12+D8</f>
        <v>183803</v>
      </c>
    </row>
    <row r="16" spans="1:6">
      <c r="D16" s="538"/>
    </row>
    <row r="17" spans="1:11">
      <c r="A17" s="534" t="s">
        <v>812</v>
      </c>
      <c r="B17" s="534" t="s">
        <v>9319</v>
      </c>
      <c r="C17" s="292" t="s">
        <v>9886</v>
      </c>
      <c r="D17" s="293">
        <v>8270</v>
      </c>
      <c r="F17" s="534" t="s">
        <v>9885</v>
      </c>
      <c r="I17" s="292"/>
      <c r="K17" s="292"/>
    </row>
    <row r="18" spans="1:11">
      <c r="A18" s="534" t="s">
        <v>813</v>
      </c>
      <c r="B18" s="534" t="s">
        <v>9887</v>
      </c>
      <c r="C18" s="292" t="s">
        <v>9888</v>
      </c>
      <c r="D18" s="293">
        <v>9965</v>
      </c>
      <c r="F18" s="534" t="s">
        <v>9885</v>
      </c>
      <c r="I18" s="292"/>
      <c r="K18" s="292"/>
    </row>
    <row r="19" spans="1:11">
      <c r="A19" s="534" t="s">
        <v>814</v>
      </c>
      <c r="B19" s="534" t="s">
        <v>9889</v>
      </c>
      <c r="C19" s="292" t="s">
        <v>9890</v>
      </c>
      <c r="D19" s="293">
        <v>7831</v>
      </c>
      <c r="F19" s="521" t="s">
        <v>9556</v>
      </c>
      <c r="I19" s="292"/>
      <c r="K19" s="292"/>
    </row>
    <row r="20" spans="1:11">
      <c r="A20" s="534" t="s">
        <v>815</v>
      </c>
      <c r="B20" s="534" t="s">
        <v>5810</v>
      </c>
      <c r="C20" s="292" t="s">
        <v>9891</v>
      </c>
      <c r="D20" s="295">
        <v>8433</v>
      </c>
      <c r="F20" s="521" t="s">
        <v>9805</v>
      </c>
      <c r="I20" s="292"/>
      <c r="K20" s="292"/>
    </row>
    <row r="21" spans="1:11">
      <c r="A21" s="534" t="s">
        <v>816</v>
      </c>
      <c r="B21" s="534" t="s">
        <v>9892</v>
      </c>
      <c r="C21" s="292" t="s">
        <v>9893</v>
      </c>
      <c r="D21" s="293">
        <v>8421</v>
      </c>
      <c r="F21" s="534" t="s">
        <v>9885</v>
      </c>
      <c r="I21" s="292"/>
      <c r="K21" s="292"/>
    </row>
    <row r="22" spans="1:11">
      <c r="A22" s="534" t="s">
        <v>826</v>
      </c>
      <c r="B22" s="534" t="s">
        <v>9894</v>
      </c>
      <c r="C22" s="292" t="s">
        <v>9895</v>
      </c>
      <c r="D22" s="293">
        <v>9701</v>
      </c>
      <c r="F22" s="521" t="s">
        <v>9805</v>
      </c>
      <c r="I22" s="292"/>
      <c r="K22" s="292"/>
    </row>
    <row r="23" spans="1:11">
      <c r="A23" s="534" t="s">
        <v>827</v>
      </c>
      <c r="B23" s="534" t="s">
        <v>9896</v>
      </c>
      <c r="C23" s="292" t="s">
        <v>9897</v>
      </c>
      <c r="D23" s="293">
        <v>5350</v>
      </c>
      <c r="F23" s="521" t="s">
        <v>9556</v>
      </c>
      <c r="I23" s="292"/>
      <c r="K23" s="292"/>
    </row>
    <row r="24" spans="1:11">
      <c r="A24" s="534" t="s">
        <v>828</v>
      </c>
      <c r="B24" s="534" t="s">
        <v>9898</v>
      </c>
      <c r="C24" s="292" t="s">
        <v>9899</v>
      </c>
      <c r="D24" s="293">
        <v>6875</v>
      </c>
      <c r="F24" s="534" t="s">
        <v>9885</v>
      </c>
      <c r="I24" s="292"/>
      <c r="K24" s="292"/>
    </row>
    <row r="25" spans="1:11">
      <c r="A25" s="534" t="s">
        <v>829</v>
      </c>
      <c r="B25" s="534" t="s">
        <v>9900</v>
      </c>
      <c r="C25" s="292" t="s">
        <v>9901</v>
      </c>
      <c r="D25" s="295">
        <v>8481</v>
      </c>
      <c r="F25" s="521" t="s">
        <v>9556</v>
      </c>
      <c r="I25" s="292"/>
      <c r="K25" s="292"/>
    </row>
    <row r="26" spans="1:11">
      <c r="A26" s="534" t="s">
        <v>830</v>
      </c>
      <c r="B26" s="534" t="s">
        <v>9902</v>
      </c>
      <c r="C26" s="292" t="s">
        <v>9903</v>
      </c>
      <c r="D26" s="293">
        <v>7945</v>
      </c>
      <c r="F26" s="521" t="s">
        <v>9556</v>
      </c>
      <c r="I26" s="292"/>
      <c r="K26" s="292"/>
    </row>
    <row r="27" spans="1:11">
      <c r="A27" s="534" t="s">
        <v>831</v>
      </c>
      <c r="B27" s="534" t="s">
        <v>3050</v>
      </c>
      <c r="C27" s="292" t="s">
        <v>9904</v>
      </c>
      <c r="D27" s="295">
        <v>8236</v>
      </c>
      <c r="F27" s="521" t="s">
        <v>9805</v>
      </c>
      <c r="I27" s="292"/>
      <c r="K27" s="292"/>
    </row>
    <row r="28" spans="1:11">
      <c r="A28" s="534" t="s">
        <v>832</v>
      </c>
      <c r="B28" s="534" t="s">
        <v>9905</v>
      </c>
      <c r="C28" s="292" t="s">
        <v>9906</v>
      </c>
      <c r="D28" s="293">
        <v>7863</v>
      </c>
      <c r="F28" s="521" t="s">
        <v>9805</v>
      </c>
      <c r="I28" s="292"/>
      <c r="K28" s="292"/>
    </row>
    <row r="29" spans="1:11">
      <c r="A29" s="534" t="s">
        <v>833</v>
      </c>
      <c r="B29" s="534" t="s">
        <v>9907</v>
      </c>
      <c r="C29" s="292" t="s">
        <v>9908</v>
      </c>
      <c r="D29" s="293">
        <v>8306</v>
      </c>
      <c r="F29" s="521" t="s">
        <v>9805</v>
      </c>
      <c r="I29" s="292"/>
      <c r="K29" s="292"/>
    </row>
    <row r="30" spans="1:11">
      <c r="A30" s="534" t="s">
        <v>834</v>
      </c>
      <c r="B30" s="534" t="s">
        <v>9909</v>
      </c>
      <c r="C30" s="292" t="s">
        <v>9910</v>
      </c>
      <c r="D30" s="293">
        <v>9033</v>
      </c>
      <c r="F30" s="534" t="s">
        <v>9885</v>
      </c>
      <c r="I30" s="292"/>
      <c r="K30" s="292"/>
    </row>
    <row r="31" spans="1:11">
      <c r="A31" s="534" t="s">
        <v>835</v>
      </c>
      <c r="B31" s="534" t="s">
        <v>9911</v>
      </c>
      <c r="C31" s="292" t="s">
        <v>9912</v>
      </c>
      <c r="D31" s="295">
        <v>8305</v>
      </c>
      <c r="F31" s="521" t="s">
        <v>9556</v>
      </c>
      <c r="I31" s="292"/>
      <c r="K31" s="292"/>
    </row>
    <row r="32" spans="1:11">
      <c r="A32" s="534" t="s">
        <v>836</v>
      </c>
      <c r="B32" s="534" t="s">
        <v>9913</v>
      </c>
      <c r="C32" s="292" t="s">
        <v>9914</v>
      </c>
      <c r="D32" s="293">
        <v>9167</v>
      </c>
      <c r="F32" s="534" t="s">
        <v>9885</v>
      </c>
      <c r="I32" s="292"/>
      <c r="K32" s="292"/>
    </row>
    <row r="33" spans="1:11">
      <c r="A33" s="534" t="s">
        <v>837</v>
      </c>
      <c r="B33" s="534" t="s">
        <v>9915</v>
      </c>
      <c r="C33" s="292" t="s">
        <v>9916</v>
      </c>
      <c r="D33" s="295">
        <v>9225</v>
      </c>
      <c r="F33" s="521" t="s">
        <v>9556</v>
      </c>
      <c r="I33" s="292"/>
      <c r="K33" s="292"/>
    </row>
    <row r="34" spans="1:11">
      <c r="A34" s="534" t="s">
        <v>838</v>
      </c>
      <c r="B34" s="534" t="s">
        <v>9917</v>
      </c>
      <c r="C34" s="292" t="s">
        <v>9918</v>
      </c>
      <c r="D34" s="295">
        <v>7698</v>
      </c>
      <c r="F34" s="521" t="s">
        <v>9556</v>
      </c>
      <c r="I34" s="292"/>
      <c r="K34" s="292"/>
    </row>
    <row r="35" spans="1:11">
      <c r="A35" s="534" t="s">
        <v>840</v>
      </c>
      <c r="B35" s="534" t="s">
        <v>9919</v>
      </c>
      <c r="C35" s="292" t="s">
        <v>9920</v>
      </c>
      <c r="D35" s="293">
        <v>9733</v>
      </c>
      <c r="F35" s="534" t="s">
        <v>9885</v>
      </c>
      <c r="I35" s="292"/>
      <c r="K35" s="292"/>
    </row>
    <row r="36" spans="1:11">
      <c r="A36" s="534" t="s">
        <v>841</v>
      </c>
      <c r="B36" s="534" t="s">
        <v>9921</v>
      </c>
      <c r="C36" s="292" t="s">
        <v>9922</v>
      </c>
      <c r="D36" s="293">
        <v>8332</v>
      </c>
      <c r="F36" s="521" t="s">
        <v>9805</v>
      </c>
      <c r="I36" s="292"/>
      <c r="K36" s="292"/>
    </row>
    <row r="37" spans="1:11">
      <c r="A37" s="534" t="s">
        <v>878</v>
      </c>
      <c r="B37" s="534" t="s">
        <v>9923</v>
      </c>
      <c r="C37" s="292" t="s">
        <v>9924</v>
      </c>
      <c r="D37" s="293">
        <v>8236</v>
      </c>
      <c r="F37" s="534" t="s">
        <v>9885</v>
      </c>
      <c r="I37" s="292"/>
      <c r="K37" s="292"/>
    </row>
    <row r="38" spans="1:11">
      <c r="A38" s="534" t="s">
        <v>879</v>
      </c>
      <c r="B38" s="534" t="s">
        <v>9925</v>
      </c>
      <c r="C38" s="292" t="s">
        <v>9926</v>
      </c>
      <c r="D38" s="295">
        <v>8397</v>
      </c>
      <c r="F38" s="521" t="s">
        <v>9885</v>
      </c>
      <c r="I38" s="292"/>
      <c r="K38" s="292"/>
    </row>
    <row r="40" spans="1:11">
      <c r="A40" s="535" t="s">
        <v>9927</v>
      </c>
    </row>
  </sheetData>
  <printOptions gridLinesSet="0"/>
  <pageMargins left="0.78740157480314965" right="0" top="0.51181102362204722" bottom="0.51181102362204722" header="0.51181102362204722" footer="0.51181102362204722"/>
  <pageSetup paperSize="9" scale="72" orientation="portrait" horizontalDpi="300" verticalDpi="300" r:id="rId1"/>
  <headerFooter alignWithMargins="0">
    <oddFooter>&amp;C&amp;"Times New Roman,Regular"&amp;8&amp;P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7"/>
  <sheetViews>
    <sheetView showGridLines="0" zoomScaleNormal="100" workbookViewId="0"/>
  </sheetViews>
  <sheetFormatPr defaultColWidth="12.59765625" defaultRowHeight="14.5"/>
  <cols>
    <col min="1" max="1" width="4.8984375" style="402" customWidth="1"/>
    <col min="2" max="2" width="40.69921875" style="402" customWidth="1"/>
    <col min="3" max="3" width="11.59765625" style="402" customWidth="1"/>
    <col min="4" max="4" width="10" style="402" customWidth="1"/>
    <col min="5" max="5" width="2.296875" style="402" customWidth="1"/>
    <col min="6" max="6" width="25.59765625" style="402" customWidth="1"/>
    <col min="7" max="16384" width="12.59765625" style="402"/>
  </cols>
  <sheetData>
    <row r="1" spans="1:6">
      <c r="A1" s="401" t="s">
        <v>9176</v>
      </c>
      <c r="D1" s="403">
        <v>2016</v>
      </c>
    </row>
    <row r="3" spans="1:6">
      <c r="A3" s="401" t="s">
        <v>9177</v>
      </c>
      <c r="D3" s="404">
        <f t="shared" ref="D3" si="0">SUM(D19:D35)</f>
        <v>111486</v>
      </c>
    </row>
    <row r="4" spans="1:6">
      <c r="A4" s="401"/>
      <c r="D4" s="404"/>
      <c r="F4" s="405"/>
    </row>
    <row r="5" spans="1:6">
      <c r="A5" s="401" t="s">
        <v>9178</v>
      </c>
      <c r="D5" s="404">
        <f>D19+D21+SUM(D24:D26)+SUM(D28:D30)+D32</f>
        <v>59630</v>
      </c>
      <c r="F5" s="401" t="s">
        <v>9179</v>
      </c>
    </row>
    <row r="6" spans="1:6" ht="15" thickBot="1">
      <c r="A6" s="401"/>
      <c r="D6" s="406">
        <f>REDBRIDGE!D6</f>
        <v>16900</v>
      </c>
      <c r="F6" s="401" t="s">
        <v>9180</v>
      </c>
    </row>
    <row r="7" spans="1:6" ht="15" thickBot="1">
      <c r="A7" s="401"/>
      <c r="D7" s="407">
        <f>D5+D6</f>
        <v>76530</v>
      </c>
      <c r="F7" s="401"/>
    </row>
    <row r="8" spans="1:6">
      <c r="D8" s="408"/>
    </row>
    <row r="9" spans="1:6">
      <c r="A9" s="401" t="s">
        <v>9181</v>
      </c>
      <c r="D9" s="404">
        <f>D20+D22+D27+D31+SUM(D33:D35)</f>
        <v>44630</v>
      </c>
      <c r="F9" s="401" t="s">
        <v>9179</v>
      </c>
    </row>
    <row r="10" spans="1:6" ht="15" thickBot="1">
      <c r="D10" s="409">
        <f>HAVERING!D12</f>
        <v>28383</v>
      </c>
      <c r="F10" s="402" t="s">
        <v>9182</v>
      </c>
    </row>
    <row r="11" spans="1:6" ht="15" thickBot="1">
      <c r="D11" s="410">
        <f t="shared" ref="D11" si="1">D9+D10</f>
        <v>73013</v>
      </c>
    </row>
    <row r="12" spans="1:6">
      <c r="D12" s="411"/>
    </row>
    <row r="13" spans="1:6">
      <c r="A13" s="401" t="s">
        <v>9183</v>
      </c>
      <c r="D13" s="411">
        <f>D23</f>
        <v>7226</v>
      </c>
      <c r="F13" s="401" t="s">
        <v>9179</v>
      </c>
    </row>
    <row r="14" spans="1:6" ht="15" thickBot="1">
      <c r="D14" s="411">
        <f>HAVERING!D8</f>
        <v>70953</v>
      </c>
      <c r="F14" s="402" t="s">
        <v>9182</v>
      </c>
    </row>
    <row r="15" spans="1:6" ht="15" thickBot="1">
      <c r="D15" s="410">
        <f t="shared" ref="D15" si="2">D13+D14</f>
        <v>78179</v>
      </c>
    </row>
    <row r="16" spans="1:6">
      <c r="D16" s="408"/>
    </row>
    <row r="17" spans="1:10">
      <c r="A17" s="401" t="s">
        <v>1041</v>
      </c>
      <c r="D17" s="404">
        <f>D5+D9+D13</f>
        <v>111486</v>
      </c>
    </row>
    <row r="18" spans="1:10">
      <c r="D18" s="408"/>
    </row>
    <row r="19" spans="1:10">
      <c r="A19" s="412">
        <v>1</v>
      </c>
      <c r="B19" s="401" t="s">
        <v>998</v>
      </c>
      <c r="C19" s="292" t="s">
        <v>9184</v>
      </c>
      <c r="D19" s="293">
        <v>7039</v>
      </c>
      <c r="F19" s="401" t="s">
        <v>9178</v>
      </c>
      <c r="H19" s="292"/>
      <c r="J19" s="292"/>
    </row>
    <row r="20" spans="1:10">
      <c r="A20" s="412">
        <v>2</v>
      </c>
      <c r="B20" s="401" t="s">
        <v>9185</v>
      </c>
      <c r="C20" s="292" t="s">
        <v>9186</v>
      </c>
      <c r="D20" s="293">
        <v>6150</v>
      </c>
      <c r="F20" s="401" t="s">
        <v>9181</v>
      </c>
      <c r="H20" s="292"/>
      <c r="J20" s="292"/>
    </row>
    <row r="21" spans="1:10">
      <c r="A21" s="412">
        <v>3</v>
      </c>
      <c r="B21" s="401" t="s">
        <v>9187</v>
      </c>
      <c r="C21" s="292" t="s">
        <v>9188</v>
      </c>
      <c r="D21" s="293">
        <v>7631</v>
      </c>
      <c r="F21" s="401" t="s">
        <v>9178</v>
      </c>
      <c r="H21" s="292"/>
      <c r="J21" s="292"/>
    </row>
    <row r="22" spans="1:10">
      <c r="A22" s="412">
        <v>4</v>
      </c>
      <c r="B22" s="401" t="s">
        <v>9189</v>
      </c>
      <c r="C22" s="292" t="s">
        <v>9190</v>
      </c>
      <c r="D22" s="293">
        <v>6376</v>
      </c>
      <c r="F22" s="401" t="s">
        <v>9181</v>
      </c>
      <c r="H22" s="292"/>
      <c r="J22" s="292"/>
    </row>
    <row r="23" spans="1:10">
      <c r="A23" s="412">
        <v>5</v>
      </c>
      <c r="B23" s="401" t="s">
        <v>9191</v>
      </c>
      <c r="C23" s="292" t="s">
        <v>9192</v>
      </c>
      <c r="D23" s="293">
        <v>7226</v>
      </c>
      <c r="F23" s="401" t="s">
        <v>9183</v>
      </c>
      <c r="H23" s="292"/>
      <c r="J23" s="292"/>
    </row>
    <row r="24" spans="1:10">
      <c r="A24" s="412">
        <v>6</v>
      </c>
      <c r="B24" s="401" t="s">
        <v>9193</v>
      </c>
      <c r="C24" s="292" t="s">
        <v>9194</v>
      </c>
      <c r="D24" s="293">
        <v>6652</v>
      </c>
      <c r="F24" s="401" t="s">
        <v>9178</v>
      </c>
      <c r="H24" s="292"/>
      <c r="J24" s="292"/>
    </row>
    <row r="25" spans="1:10">
      <c r="A25" s="412">
        <v>7</v>
      </c>
      <c r="B25" s="401" t="s">
        <v>9195</v>
      </c>
      <c r="C25" s="292" t="s">
        <v>9196</v>
      </c>
      <c r="D25" s="293">
        <v>5598</v>
      </c>
      <c r="F25" s="401" t="s">
        <v>9178</v>
      </c>
      <c r="H25" s="292"/>
      <c r="J25" s="292"/>
    </row>
    <row r="26" spans="1:10">
      <c r="A26" s="412">
        <v>8</v>
      </c>
      <c r="B26" s="401" t="s">
        <v>9197</v>
      </c>
      <c r="C26" s="292" t="s">
        <v>9198</v>
      </c>
      <c r="D26" s="293">
        <v>6637</v>
      </c>
      <c r="F26" s="401" t="s">
        <v>9178</v>
      </c>
      <c r="H26" s="292"/>
      <c r="J26" s="292"/>
    </row>
    <row r="27" spans="1:10">
      <c r="A27" s="412">
        <v>9</v>
      </c>
      <c r="B27" s="401" t="s">
        <v>2851</v>
      </c>
      <c r="C27" s="292" t="s">
        <v>9199</v>
      </c>
      <c r="D27" s="293">
        <v>6530</v>
      </c>
      <c r="F27" s="401" t="s">
        <v>9181</v>
      </c>
      <c r="H27" s="292"/>
      <c r="J27" s="292"/>
    </row>
    <row r="28" spans="1:10">
      <c r="A28" s="412">
        <v>10</v>
      </c>
      <c r="B28" s="401" t="s">
        <v>999</v>
      </c>
      <c r="C28" s="292" t="s">
        <v>9200</v>
      </c>
      <c r="D28" s="293">
        <v>7599</v>
      </c>
      <c r="F28" s="401" t="s">
        <v>9178</v>
      </c>
      <c r="H28" s="292"/>
      <c r="J28" s="292"/>
    </row>
    <row r="29" spans="1:10">
      <c r="A29" s="412">
        <v>11</v>
      </c>
      <c r="B29" s="401" t="s">
        <v>9201</v>
      </c>
      <c r="C29" s="292" t="s">
        <v>9202</v>
      </c>
      <c r="D29" s="293">
        <v>6013</v>
      </c>
      <c r="F29" s="401" t="s">
        <v>9178</v>
      </c>
      <c r="H29" s="292"/>
      <c r="J29" s="292"/>
    </row>
    <row r="30" spans="1:10">
      <c r="A30" s="412">
        <v>12</v>
      </c>
      <c r="B30" s="401" t="s">
        <v>9203</v>
      </c>
      <c r="C30" s="292" t="s">
        <v>9204</v>
      </c>
      <c r="D30" s="293">
        <v>5836</v>
      </c>
      <c r="F30" s="401" t="s">
        <v>9178</v>
      </c>
      <c r="H30" s="292"/>
      <c r="J30" s="292"/>
    </row>
    <row r="31" spans="1:10">
      <c r="A31" s="412">
        <v>13</v>
      </c>
      <c r="B31" s="401" t="s">
        <v>9205</v>
      </c>
      <c r="C31" s="292" t="s">
        <v>9206</v>
      </c>
      <c r="D31" s="293">
        <v>6100</v>
      </c>
      <c r="F31" s="401" t="s">
        <v>9181</v>
      </c>
      <c r="H31" s="292"/>
      <c r="J31" s="292"/>
    </row>
    <row r="32" spans="1:10" ht="14.25" customHeight="1">
      <c r="A32" s="412">
        <v>14</v>
      </c>
      <c r="B32" s="401" t="s">
        <v>9207</v>
      </c>
      <c r="C32" s="292" t="s">
        <v>9208</v>
      </c>
      <c r="D32" s="293">
        <v>6625</v>
      </c>
      <c r="F32" s="401" t="s">
        <v>9178</v>
      </c>
      <c r="H32" s="292"/>
      <c r="J32" s="292"/>
    </row>
    <row r="33" spans="1:10">
      <c r="A33" s="412">
        <v>15</v>
      </c>
      <c r="B33" s="401" t="s">
        <v>9209</v>
      </c>
      <c r="C33" s="292" t="s">
        <v>9210</v>
      </c>
      <c r="D33" s="293">
        <v>6534</v>
      </c>
      <c r="F33" s="401" t="s">
        <v>9181</v>
      </c>
      <c r="H33" s="292"/>
      <c r="J33" s="292"/>
    </row>
    <row r="34" spans="1:10">
      <c r="A34" s="412">
        <v>16</v>
      </c>
      <c r="B34" s="401" t="s">
        <v>6189</v>
      </c>
      <c r="C34" s="292" t="s">
        <v>9211</v>
      </c>
      <c r="D34" s="295">
        <v>6453</v>
      </c>
      <c r="F34" s="401" t="s">
        <v>9181</v>
      </c>
      <c r="H34" s="292"/>
      <c r="J34" s="292"/>
    </row>
    <row r="35" spans="1:10">
      <c r="A35" s="412">
        <v>17</v>
      </c>
      <c r="B35" s="401" t="s">
        <v>9212</v>
      </c>
      <c r="C35" s="292" t="s">
        <v>9213</v>
      </c>
      <c r="D35" s="295">
        <v>6487</v>
      </c>
      <c r="F35" s="401" t="s">
        <v>9181</v>
      </c>
      <c r="H35" s="292"/>
      <c r="J35" s="292"/>
    </row>
    <row r="37" spans="1:10">
      <c r="A37" s="402" t="s">
        <v>9214</v>
      </c>
    </row>
  </sheetData>
  <printOptions gridLinesSet="0"/>
  <pageMargins left="0.78740157480314965" right="0" top="0.51181102362204722" bottom="0.51181102362204722" header="0.51181102362204722" footer="0.51181102362204722"/>
  <pageSetup paperSize="9" scale="77" orientation="portrait" horizontalDpi="300" verticalDpi="300" r:id="rId1"/>
  <headerFooter alignWithMargins="0">
    <oddFooter>&amp;C&amp;"Times New Roman,Regular"&amp;8&amp;P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8"/>
  <sheetViews>
    <sheetView showGridLines="0" zoomScaleNormal="100" workbookViewId="0"/>
  </sheetViews>
  <sheetFormatPr defaultColWidth="12.59765625" defaultRowHeight="14.5"/>
  <cols>
    <col min="1" max="1" width="4.8984375" style="542" customWidth="1"/>
    <col min="2" max="2" width="35.296875" style="542" customWidth="1"/>
    <col min="3" max="3" width="11.3984375" style="542" customWidth="1"/>
    <col min="4" max="4" width="9.8984375" style="542" customWidth="1"/>
    <col min="5" max="5" width="1.8984375" style="542" customWidth="1"/>
    <col min="6" max="6" width="30.69921875" style="542" customWidth="1"/>
    <col min="7" max="16384" width="12.59765625" style="542"/>
  </cols>
  <sheetData>
    <row r="1" spans="1:6">
      <c r="A1" s="475" t="s">
        <v>9176</v>
      </c>
      <c r="D1" s="543">
        <v>2016</v>
      </c>
    </row>
    <row r="3" spans="1:6">
      <c r="A3" s="475" t="s">
        <v>9928</v>
      </c>
      <c r="D3" s="544">
        <f t="shared" ref="D3" si="0">SUM(D17:D36)</f>
        <v>159510</v>
      </c>
    </row>
    <row r="5" spans="1:6">
      <c r="A5" s="475" t="s">
        <v>9551</v>
      </c>
      <c r="D5" s="545">
        <f>EALING!D5</f>
        <v>17562</v>
      </c>
      <c r="F5" s="542" t="s">
        <v>9552</v>
      </c>
    </row>
    <row r="6" spans="1:6" ht="15" thickBot="1">
      <c r="D6" s="546">
        <f>SUM(D18:D20)+SUM(D33:D36)</f>
        <v>55313</v>
      </c>
      <c r="F6" s="475" t="s">
        <v>9553</v>
      </c>
    </row>
    <row r="7" spans="1:6" ht="15" thickBot="1">
      <c r="D7" s="547">
        <f>D5+D6</f>
        <v>72875</v>
      </c>
      <c r="F7" s="475"/>
    </row>
    <row r="8" spans="1:6">
      <c r="D8" s="545"/>
    </row>
    <row r="9" spans="1:6">
      <c r="A9" s="475" t="s">
        <v>9929</v>
      </c>
      <c r="D9" s="544">
        <f>D17+SUM(D22:D25)+SUM(D29:D32)</f>
        <v>72678</v>
      </c>
      <c r="F9" s="475" t="s">
        <v>9553</v>
      </c>
    </row>
    <row r="10" spans="1:6">
      <c r="A10" s="475"/>
      <c r="D10" s="544"/>
      <c r="F10" s="475"/>
    </row>
    <row r="11" spans="1:6">
      <c r="A11" s="475" t="s">
        <v>9558</v>
      </c>
      <c r="D11" s="544">
        <f>EALING!D19</f>
        <v>45718</v>
      </c>
      <c r="F11" s="542" t="s">
        <v>9552</v>
      </c>
    </row>
    <row r="12" spans="1:6" ht="15" thickBot="1">
      <c r="A12" s="475"/>
      <c r="D12" s="544">
        <f>D21+SUM(D26:D28)</f>
        <v>31519</v>
      </c>
      <c r="F12" s="475" t="s">
        <v>9553</v>
      </c>
    </row>
    <row r="13" spans="1:6" ht="15" thickBot="1">
      <c r="A13" s="475"/>
      <c r="D13" s="547">
        <f>D11+D12</f>
        <v>77237</v>
      </c>
      <c r="F13" s="475"/>
    </row>
    <row r="14" spans="1:6">
      <c r="D14" s="545"/>
    </row>
    <row r="15" spans="1:6">
      <c r="A15" s="475" t="s">
        <v>1041</v>
      </c>
      <c r="D15" s="544">
        <f>D6+D9+D12</f>
        <v>159510</v>
      </c>
    </row>
    <row r="16" spans="1:6">
      <c r="D16" s="545"/>
    </row>
    <row r="17" spans="1:10">
      <c r="A17" s="475" t="s">
        <v>812</v>
      </c>
      <c r="B17" s="475" t="s">
        <v>9930</v>
      </c>
      <c r="C17" s="292" t="s">
        <v>9931</v>
      </c>
      <c r="D17" s="316">
        <v>8200</v>
      </c>
      <c r="F17" s="475" t="s">
        <v>9929</v>
      </c>
      <c r="H17" s="292"/>
      <c r="J17" s="292"/>
    </row>
    <row r="18" spans="1:10">
      <c r="A18" s="475" t="s">
        <v>813</v>
      </c>
      <c r="B18" s="475" t="s">
        <v>9932</v>
      </c>
      <c r="C18" s="292" t="s">
        <v>9933</v>
      </c>
      <c r="D18" s="316">
        <v>9080</v>
      </c>
      <c r="F18" s="475" t="s">
        <v>9551</v>
      </c>
      <c r="H18" s="292"/>
      <c r="J18" s="292"/>
    </row>
    <row r="19" spans="1:10">
      <c r="A19" s="475" t="s">
        <v>814</v>
      </c>
      <c r="B19" s="475" t="s">
        <v>9934</v>
      </c>
      <c r="C19" s="292" t="s">
        <v>9935</v>
      </c>
      <c r="D19" s="316">
        <v>7051</v>
      </c>
      <c r="F19" s="475" t="s">
        <v>9551</v>
      </c>
      <c r="H19" s="292"/>
      <c r="J19" s="292"/>
    </row>
    <row r="20" spans="1:10">
      <c r="A20" s="475" t="s">
        <v>815</v>
      </c>
      <c r="B20" s="475" t="s">
        <v>9936</v>
      </c>
      <c r="C20" s="292" t="s">
        <v>9937</v>
      </c>
      <c r="D20" s="316">
        <v>7590</v>
      </c>
      <c r="F20" s="475" t="s">
        <v>9551</v>
      </c>
      <c r="H20" s="292"/>
      <c r="J20" s="292"/>
    </row>
    <row r="21" spans="1:10">
      <c r="A21" s="475" t="s">
        <v>816</v>
      </c>
      <c r="B21" s="475" t="s">
        <v>9938</v>
      </c>
      <c r="C21" s="292" t="s">
        <v>9939</v>
      </c>
      <c r="D21" s="316">
        <v>7651</v>
      </c>
      <c r="F21" s="475" t="s">
        <v>9558</v>
      </c>
      <c r="H21" s="292"/>
      <c r="J21" s="292"/>
    </row>
    <row r="22" spans="1:10">
      <c r="A22" s="475" t="s">
        <v>826</v>
      </c>
      <c r="B22" s="475" t="s">
        <v>9940</v>
      </c>
      <c r="C22" s="292" t="s">
        <v>9941</v>
      </c>
      <c r="D22" s="316">
        <v>7198</v>
      </c>
      <c r="F22" s="475" t="s">
        <v>9929</v>
      </c>
      <c r="H22" s="292"/>
      <c r="J22" s="292"/>
    </row>
    <row r="23" spans="1:10">
      <c r="A23" s="475" t="s">
        <v>827</v>
      </c>
      <c r="B23" s="475" t="s">
        <v>9942</v>
      </c>
      <c r="C23" s="292" t="s">
        <v>9943</v>
      </c>
      <c r="D23" s="316">
        <v>9208</v>
      </c>
      <c r="F23" s="475" t="s">
        <v>9929</v>
      </c>
      <c r="H23" s="292"/>
      <c r="J23" s="292"/>
    </row>
    <row r="24" spans="1:10">
      <c r="A24" s="475" t="s">
        <v>828</v>
      </c>
      <c r="B24" s="475" t="s">
        <v>9944</v>
      </c>
      <c r="C24" s="292" t="s">
        <v>9945</v>
      </c>
      <c r="D24" s="316">
        <v>7601</v>
      </c>
      <c r="F24" s="475" t="s">
        <v>9929</v>
      </c>
      <c r="H24" s="292"/>
      <c r="J24" s="292"/>
    </row>
    <row r="25" spans="1:10">
      <c r="A25" s="475" t="s">
        <v>829</v>
      </c>
      <c r="B25" s="475" t="s">
        <v>9946</v>
      </c>
      <c r="C25" s="292" t="s">
        <v>9947</v>
      </c>
      <c r="D25" s="316">
        <v>7537</v>
      </c>
      <c r="F25" s="475" t="s">
        <v>9929</v>
      </c>
      <c r="H25" s="292"/>
      <c r="J25" s="292"/>
    </row>
    <row r="26" spans="1:10">
      <c r="A26" s="475" t="s">
        <v>830</v>
      </c>
      <c r="B26" s="475" t="s">
        <v>9948</v>
      </c>
      <c r="C26" s="292" t="s">
        <v>9949</v>
      </c>
      <c r="D26" s="316">
        <v>7751</v>
      </c>
      <c r="F26" s="475" t="s">
        <v>9558</v>
      </c>
      <c r="H26" s="292"/>
      <c r="J26" s="292"/>
    </row>
    <row r="27" spans="1:10">
      <c r="A27" s="475" t="s">
        <v>831</v>
      </c>
      <c r="B27" s="475" t="s">
        <v>9950</v>
      </c>
      <c r="C27" s="292" t="s">
        <v>9951</v>
      </c>
      <c r="D27" s="316">
        <v>8091</v>
      </c>
      <c r="F27" s="475" t="s">
        <v>9558</v>
      </c>
      <c r="H27" s="292"/>
      <c r="J27" s="292"/>
    </row>
    <row r="28" spans="1:10">
      <c r="A28" s="475" t="s">
        <v>832</v>
      </c>
      <c r="B28" s="475" t="s">
        <v>9952</v>
      </c>
      <c r="C28" s="292" t="s">
        <v>9953</v>
      </c>
      <c r="D28" s="316">
        <v>8026</v>
      </c>
      <c r="F28" s="475" t="s">
        <v>9558</v>
      </c>
      <c r="H28" s="292"/>
      <c r="J28" s="292"/>
    </row>
    <row r="29" spans="1:10">
      <c r="A29" s="475" t="s">
        <v>833</v>
      </c>
      <c r="B29" s="475" t="s">
        <v>9954</v>
      </c>
      <c r="C29" s="292" t="s">
        <v>9955</v>
      </c>
      <c r="D29" s="316">
        <v>8939</v>
      </c>
      <c r="F29" s="475" t="s">
        <v>9929</v>
      </c>
      <c r="H29" s="292"/>
      <c r="J29" s="292"/>
    </row>
    <row r="30" spans="1:10">
      <c r="A30" s="475" t="s">
        <v>834</v>
      </c>
      <c r="B30" s="475" t="s">
        <v>9956</v>
      </c>
      <c r="C30" s="292" t="s">
        <v>9957</v>
      </c>
      <c r="D30" s="316">
        <v>8501</v>
      </c>
      <c r="F30" s="475" t="s">
        <v>9929</v>
      </c>
      <c r="H30" s="292"/>
      <c r="J30" s="292"/>
    </row>
    <row r="31" spans="1:10">
      <c r="A31" s="475" t="s">
        <v>835</v>
      </c>
      <c r="B31" s="475" t="s">
        <v>9958</v>
      </c>
      <c r="C31" s="292" t="s">
        <v>9959</v>
      </c>
      <c r="D31" s="316">
        <v>7674</v>
      </c>
      <c r="F31" s="475" t="s">
        <v>9929</v>
      </c>
      <c r="H31" s="292"/>
      <c r="J31" s="292"/>
    </row>
    <row r="32" spans="1:10">
      <c r="A32" s="475" t="s">
        <v>836</v>
      </c>
      <c r="B32" s="475" t="s">
        <v>9960</v>
      </c>
      <c r="C32" s="292" t="s">
        <v>9961</v>
      </c>
      <c r="D32" s="316">
        <v>7820</v>
      </c>
      <c r="F32" s="475" t="s">
        <v>9929</v>
      </c>
      <c r="H32" s="292"/>
      <c r="J32" s="292"/>
    </row>
    <row r="33" spans="1:10">
      <c r="A33" s="475" t="s">
        <v>837</v>
      </c>
      <c r="B33" s="475" t="s">
        <v>9962</v>
      </c>
      <c r="C33" s="292" t="s">
        <v>9963</v>
      </c>
      <c r="D33" s="316">
        <v>7540</v>
      </c>
      <c r="F33" s="475" t="s">
        <v>9551</v>
      </c>
      <c r="H33" s="292"/>
      <c r="J33" s="292"/>
    </row>
    <row r="34" spans="1:10">
      <c r="A34" s="475" t="s">
        <v>838</v>
      </c>
      <c r="B34" s="475" t="s">
        <v>9964</v>
      </c>
      <c r="C34" s="292" t="s">
        <v>9965</v>
      </c>
      <c r="D34" s="316">
        <v>8361</v>
      </c>
      <c r="F34" s="475" t="s">
        <v>9551</v>
      </c>
      <c r="H34" s="292"/>
      <c r="J34" s="292"/>
    </row>
    <row r="35" spans="1:10">
      <c r="A35" s="475" t="s">
        <v>840</v>
      </c>
      <c r="B35" s="475" t="s">
        <v>9966</v>
      </c>
      <c r="C35" s="292" t="s">
        <v>9967</v>
      </c>
      <c r="D35" s="316">
        <v>8723</v>
      </c>
      <c r="F35" s="475" t="s">
        <v>9551</v>
      </c>
      <c r="H35" s="292"/>
      <c r="J35" s="292"/>
    </row>
    <row r="36" spans="1:10">
      <c r="A36" s="475" t="s">
        <v>841</v>
      </c>
      <c r="B36" s="475" t="s">
        <v>9968</v>
      </c>
      <c r="C36" s="292" t="s">
        <v>9969</v>
      </c>
      <c r="D36" s="316">
        <v>6968</v>
      </c>
      <c r="F36" s="475" t="s">
        <v>9551</v>
      </c>
      <c r="H36" s="292"/>
      <c r="J36" s="292"/>
    </row>
    <row r="38" spans="1:10">
      <c r="A38" s="542" t="s">
        <v>9970</v>
      </c>
    </row>
  </sheetData>
  <printOptions gridLinesSet="0"/>
  <pageMargins left="0.78740157480314965" right="0" top="0.51181102362204722" bottom="0.51181102362204722" header="0.51181102362204722" footer="0.51181102362204722"/>
  <pageSetup paperSize="9" scale="76" orientation="portrait" horizontalDpi="300" verticalDpi="300" r:id="rId1"/>
  <headerFooter alignWithMargins="0">
    <oddFooter>&amp;C&amp;"Times New Roman,Regular"&amp;8&amp;P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160"/>
  <sheetViews>
    <sheetView showGridLines="0" zoomScaleNormal="100" workbookViewId="0"/>
  </sheetViews>
  <sheetFormatPr defaultColWidth="12.59765625" defaultRowHeight="14.5"/>
  <cols>
    <col min="1" max="1" width="4.8984375" style="642" customWidth="1"/>
    <col min="2" max="2" width="51" style="642" customWidth="1"/>
    <col min="3" max="3" width="11.8984375" style="642" customWidth="1"/>
    <col min="4" max="4" width="10" style="642" customWidth="1"/>
    <col min="5" max="5" width="2.296875" style="642" customWidth="1"/>
    <col min="6" max="6" width="40.8984375" style="642" customWidth="1"/>
    <col min="7" max="16384" width="12.59765625" style="642"/>
  </cols>
  <sheetData>
    <row r="1" spans="1:6">
      <c r="A1" s="641" t="s">
        <v>1075</v>
      </c>
      <c r="D1" s="643">
        <v>2016</v>
      </c>
    </row>
    <row r="3" spans="1:6">
      <c r="A3" s="641" t="s">
        <v>10598</v>
      </c>
      <c r="C3" s="641"/>
      <c r="D3" s="644">
        <f t="shared" ref="D3" si="0">D40</f>
        <v>254116</v>
      </c>
    </row>
    <row r="4" spans="1:6">
      <c r="A4" s="641" t="s">
        <v>10599</v>
      </c>
      <c r="C4" s="641"/>
      <c r="D4" s="644">
        <f t="shared" ref="D4" si="1">D78</f>
        <v>175422</v>
      </c>
    </row>
    <row r="5" spans="1:6">
      <c r="A5" s="641" t="s">
        <v>10600</v>
      </c>
      <c r="C5" s="641"/>
      <c r="D5" s="644">
        <f t="shared" ref="D5" si="2">D112</f>
        <v>112541</v>
      </c>
    </row>
    <row r="6" spans="1:6" ht="15" thickBot="1">
      <c r="A6" s="641" t="s">
        <v>10601</v>
      </c>
      <c r="C6" s="641"/>
      <c r="D6" s="645">
        <f t="shared" ref="D6" si="3">D137</f>
        <v>119916</v>
      </c>
    </row>
    <row r="7" spans="1:6" ht="15" thickBot="1">
      <c r="D7" s="645">
        <f t="shared" ref="D7" si="4">SUM(D3:D6)</f>
        <v>661995</v>
      </c>
    </row>
    <row r="9" spans="1:6">
      <c r="A9" s="641" t="s">
        <v>10602</v>
      </c>
      <c r="D9" s="644">
        <f t="shared" ref="D9" si="5">D68</f>
        <v>76641</v>
      </c>
      <c r="F9" s="641" t="s">
        <v>10603</v>
      </c>
    </row>
    <row r="10" spans="1:6">
      <c r="D10" s="646"/>
    </row>
    <row r="11" spans="1:6">
      <c r="A11" s="641" t="s">
        <v>10604</v>
      </c>
      <c r="D11" s="644">
        <f>D69</f>
        <v>77061</v>
      </c>
      <c r="F11" s="641" t="s">
        <v>10603</v>
      </c>
    </row>
    <row r="13" spans="1:6">
      <c r="A13" s="641" t="s">
        <v>10605</v>
      </c>
      <c r="D13" s="644">
        <f>D70</f>
        <v>57825</v>
      </c>
      <c r="F13" s="641" t="s">
        <v>10603</v>
      </c>
    </row>
    <row r="14" spans="1:6" ht="15" thickBot="1">
      <c r="D14" s="645">
        <f>D156</f>
        <v>17434</v>
      </c>
      <c r="F14" s="641" t="s">
        <v>10606</v>
      </c>
    </row>
    <row r="15" spans="1:6" ht="15" thickBot="1">
      <c r="D15" s="645">
        <f t="shared" ref="D15" si="6">D13+D14</f>
        <v>75259</v>
      </c>
    </row>
    <row r="16" spans="1:6">
      <c r="D16" s="646"/>
    </row>
    <row r="17" spans="1:6">
      <c r="A17" s="641" t="s">
        <v>10607</v>
      </c>
      <c r="D17" s="644">
        <f>D129</f>
        <v>40808</v>
      </c>
      <c r="F17" s="641" t="s">
        <v>10608</v>
      </c>
    </row>
    <row r="18" spans="1:6" ht="15" thickBot="1">
      <c r="A18" s="641"/>
      <c r="D18" s="645">
        <f>D157</f>
        <v>30662</v>
      </c>
      <c r="F18" s="641" t="s">
        <v>10606</v>
      </c>
    </row>
    <row r="19" spans="1:6" ht="15" thickBot="1">
      <c r="D19" s="645">
        <f>D17+D18</f>
        <v>71470</v>
      </c>
    </row>
    <row r="21" spans="1:6">
      <c r="A21" s="641" t="s">
        <v>10609</v>
      </c>
      <c r="D21" s="644">
        <f>D130</f>
        <v>71733</v>
      </c>
      <c r="F21" s="641" t="s">
        <v>10608</v>
      </c>
    </row>
    <row r="23" spans="1:6">
      <c r="A23" s="641" t="s">
        <v>10610</v>
      </c>
      <c r="D23" s="644">
        <f t="shared" ref="D23" si="7">D104</f>
        <v>72078</v>
      </c>
      <c r="F23" s="641" t="s">
        <v>10611</v>
      </c>
    </row>
    <row r="24" spans="1:6">
      <c r="D24" s="646"/>
    </row>
    <row r="25" spans="1:6">
      <c r="A25" s="641" t="s">
        <v>10612</v>
      </c>
      <c r="D25" s="644">
        <f>D103</f>
        <v>71722</v>
      </c>
      <c r="F25" s="641" t="s">
        <v>10611</v>
      </c>
    </row>
    <row r="26" spans="1:6">
      <c r="D26" s="646"/>
    </row>
    <row r="27" spans="1:6">
      <c r="A27" s="641" t="s">
        <v>10613</v>
      </c>
      <c r="D27" s="644">
        <f t="shared" ref="D27" si="8">D71</f>
        <v>42589</v>
      </c>
      <c r="F27" s="641" t="s">
        <v>10603</v>
      </c>
    </row>
    <row r="28" spans="1:6" ht="15" thickBot="1">
      <c r="D28" s="645">
        <f t="shared" ref="D28" si="9">D105</f>
        <v>31622</v>
      </c>
      <c r="F28" s="641" t="s">
        <v>10611</v>
      </c>
    </row>
    <row r="29" spans="1:6" ht="15" thickBot="1">
      <c r="D29" s="645">
        <f t="shared" ref="D29" si="10">D27+D28</f>
        <v>74211</v>
      </c>
    </row>
    <row r="30" spans="1:6" ht="15" customHeight="1">
      <c r="D30" s="646"/>
    </row>
    <row r="31" spans="1:6" ht="15" customHeight="1">
      <c r="A31" s="641" t="s">
        <v>10614</v>
      </c>
      <c r="D31" s="644">
        <f t="shared" ref="D31" si="11">D158</f>
        <v>71820</v>
      </c>
      <c r="F31" s="641" t="s">
        <v>10606</v>
      </c>
    </row>
    <row r="32" spans="1:6" ht="15" customHeight="1">
      <c r="B32" s="2"/>
      <c r="C32" s="2"/>
      <c r="D32" s="646"/>
    </row>
    <row r="33" spans="1:11" ht="15" customHeight="1">
      <c r="A33" s="641" t="s">
        <v>1041</v>
      </c>
      <c r="D33" s="644">
        <f>D9+D11+D15+D19+D21+D23+D25+D29+D31</f>
        <v>661995</v>
      </c>
    </row>
    <row r="34" spans="1:11">
      <c r="D34" s="646"/>
    </row>
    <row r="35" spans="1:11">
      <c r="A35" s="641" t="s">
        <v>10615</v>
      </c>
    </row>
    <row r="36" spans="1:11">
      <c r="A36" s="641"/>
    </row>
    <row r="38" spans="1:11">
      <c r="D38" s="10" t="s">
        <v>285</v>
      </c>
      <c r="E38" s="16"/>
      <c r="F38" s="41" t="s">
        <v>4116</v>
      </c>
    </row>
    <row r="39" spans="1:11">
      <c r="D39" s="15">
        <v>2016</v>
      </c>
      <c r="E39" s="16"/>
      <c r="F39" s="18" t="s">
        <v>286</v>
      </c>
    </row>
    <row r="40" spans="1:11" ht="15" customHeight="1">
      <c r="A40" s="641" t="s">
        <v>10598</v>
      </c>
      <c r="C40" s="641"/>
      <c r="D40" s="644">
        <f t="shared" ref="D40" si="12">SUM(D41:D66)</f>
        <v>254116</v>
      </c>
    </row>
    <row r="41" spans="1:11">
      <c r="A41" s="641" t="s">
        <v>812</v>
      </c>
      <c r="B41" s="641" t="s">
        <v>10616</v>
      </c>
      <c r="C41" s="1" t="s">
        <v>10617</v>
      </c>
      <c r="D41" s="13">
        <v>10789</v>
      </c>
      <c r="F41" s="641" t="s">
        <v>10602</v>
      </c>
      <c r="I41" s="1"/>
      <c r="K41" s="1"/>
    </row>
    <row r="42" spans="1:11">
      <c r="A42" s="641" t="s">
        <v>813</v>
      </c>
      <c r="B42" s="641" t="s">
        <v>10618</v>
      </c>
      <c r="C42" s="1" t="s">
        <v>10619</v>
      </c>
      <c r="D42" s="13">
        <v>7947</v>
      </c>
      <c r="F42" s="641" t="s">
        <v>10604</v>
      </c>
      <c r="I42" s="1"/>
      <c r="K42" s="1"/>
    </row>
    <row r="43" spans="1:11" ht="15" customHeight="1">
      <c r="A43" s="641" t="s">
        <v>814</v>
      </c>
      <c r="B43" s="641" t="s">
        <v>10620</v>
      </c>
      <c r="C43" s="1" t="s">
        <v>10621</v>
      </c>
      <c r="D43" s="13">
        <v>11217</v>
      </c>
      <c r="F43" s="641" t="s">
        <v>10604</v>
      </c>
      <c r="I43" s="1"/>
      <c r="K43" s="1"/>
    </row>
    <row r="44" spans="1:11">
      <c r="A44" s="641" t="s">
        <v>815</v>
      </c>
      <c r="B44" s="641" t="s">
        <v>10622</v>
      </c>
      <c r="C44" s="1" t="s">
        <v>10623</v>
      </c>
      <c r="D44" s="13">
        <v>10027</v>
      </c>
      <c r="F44" s="641" t="s">
        <v>10604</v>
      </c>
      <c r="I44" s="1"/>
      <c r="K44" s="1"/>
    </row>
    <row r="45" spans="1:11">
      <c r="A45" s="641" t="s">
        <v>816</v>
      </c>
      <c r="B45" s="641" t="s">
        <v>10624</v>
      </c>
      <c r="C45" s="1" t="s">
        <v>10625</v>
      </c>
      <c r="D45" s="13">
        <v>6534</v>
      </c>
      <c r="F45" s="641" t="s">
        <v>10613</v>
      </c>
      <c r="I45" s="1"/>
      <c r="K45" s="1"/>
    </row>
    <row r="46" spans="1:11">
      <c r="A46" s="641" t="s">
        <v>826</v>
      </c>
      <c r="B46" s="641" t="s">
        <v>10626</v>
      </c>
      <c r="C46" s="1" t="s">
        <v>10627</v>
      </c>
      <c r="D46" s="13">
        <v>6917</v>
      </c>
      <c r="F46" s="641" t="s">
        <v>10613</v>
      </c>
      <c r="I46" s="1"/>
      <c r="K46" s="1"/>
    </row>
    <row r="47" spans="1:11">
      <c r="A47" s="641" t="s">
        <v>827</v>
      </c>
      <c r="B47" s="641" t="s">
        <v>10628</v>
      </c>
      <c r="C47" s="1" t="s">
        <v>10629</v>
      </c>
      <c r="D47" s="13">
        <v>12994</v>
      </c>
      <c r="F47" s="641" t="s">
        <v>10605</v>
      </c>
      <c r="I47" s="1"/>
      <c r="K47" s="1"/>
    </row>
    <row r="48" spans="1:11">
      <c r="A48" s="641" t="s">
        <v>828</v>
      </c>
      <c r="B48" s="641" t="s">
        <v>10630</v>
      </c>
      <c r="C48" s="1" t="s">
        <v>10631</v>
      </c>
      <c r="D48" s="13">
        <v>11555</v>
      </c>
      <c r="F48" s="641" t="s">
        <v>10604</v>
      </c>
      <c r="I48" s="1"/>
      <c r="K48" s="1"/>
    </row>
    <row r="49" spans="1:11">
      <c r="A49" s="641" t="s">
        <v>829</v>
      </c>
      <c r="B49" s="641" t="s">
        <v>10632</v>
      </c>
      <c r="C49" s="1" t="s">
        <v>10633</v>
      </c>
      <c r="D49" s="13">
        <v>11727</v>
      </c>
      <c r="F49" s="641" t="s">
        <v>10604</v>
      </c>
      <c r="I49" s="1"/>
      <c r="K49" s="1"/>
    </row>
    <row r="50" spans="1:11">
      <c r="A50" s="641" t="s">
        <v>830</v>
      </c>
      <c r="B50" s="641" t="s">
        <v>10634</v>
      </c>
      <c r="C50" s="1" t="s">
        <v>10635</v>
      </c>
      <c r="D50" s="13">
        <v>7623</v>
      </c>
      <c r="F50" s="641" t="s">
        <v>10605</v>
      </c>
      <c r="I50" s="1"/>
      <c r="K50" s="1"/>
    </row>
    <row r="51" spans="1:11">
      <c r="A51" s="641" t="s">
        <v>831</v>
      </c>
      <c r="B51" s="641" t="s">
        <v>10636</v>
      </c>
      <c r="C51" s="1" t="s">
        <v>10637</v>
      </c>
      <c r="D51" s="13">
        <v>6209</v>
      </c>
      <c r="F51" s="641" t="s">
        <v>10605</v>
      </c>
      <c r="I51" s="1"/>
      <c r="K51" s="1"/>
    </row>
    <row r="52" spans="1:11">
      <c r="A52" s="641" t="s">
        <v>832</v>
      </c>
      <c r="B52" s="641" t="s">
        <v>10638</v>
      </c>
      <c r="C52" s="1" t="s">
        <v>10639</v>
      </c>
      <c r="D52" s="13">
        <v>10943</v>
      </c>
      <c r="F52" s="641" t="s">
        <v>10613</v>
      </c>
      <c r="I52" s="1"/>
      <c r="K52" s="1"/>
    </row>
    <row r="53" spans="1:11">
      <c r="A53" s="641" t="s">
        <v>833</v>
      </c>
      <c r="B53" s="641" t="s">
        <v>10640</v>
      </c>
      <c r="C53" s="1" t="s">
        <v>10641</v>
      </c>
      <c r="D53" s="13">
        <v>3955</v>
      </c>
      <c r="F53" s="641" t="s">
        <v>10605</v>
      </c>
      <c r="I53" s="1"/>
      <c r="K53" s="1"/>
    </row>
    <row r="54" spans="1:11">
      <c r="A54" s="641" t="s">
        <v>834</v>
      </c>
      <c r="B54" s="641" t="s">
        <v>10642</v>
      </c>
      <c r="C54" s="1" t="s">
        <v>10643</v>
      </c>
      <c r="D54" s="13">
        <v>11526</v>
      </c>
      <c r="F54" s="641" t="s">
        <v>10605</v>
      </c>
      <c r="I54" s="1"/>
      <c r="K54" s="1"/>
    </row>
    <row r="55" spans="1:11">
      <c r="A55" s="641" t="s">
        <v>835</v>
      </c>
      <c r="B55" s="641" t="s">
        <v>10644</v>
      </c>
      <c r="C55" s="1" t="s">
        <v>10645</v>
      </c>
      <c r="D55" s="13">
        <v>10973</v>
      </c>
      <c r="F55" s="641" t="s">
        <v>10602</v>
      </c>
      <c r="I55" s="1"/>
      <c r="K55" s="1"/>
    </row>
    <row r="56" spans="1:11">
      <c r="A56" s="641" t="s">
        <v>836</v>
      </c>
      <c r="B56" s="641" t="s">
        <v>10646</v>
      </c>
      <c r="C56" s="1" t="s">
        <v>10647</v>
      </c>
      <c r="D56" s="13">
        <v>12089</v>
      </c>
      <c r="F56" s="641" t="s">
        <v>10602</v>
      </c>
      <c r="I56" s="1"/>
      <c r="K56" s="1"/>
    </row>
    <row r="57" spans="1:11">
      <c r="A57" s="641" t="s">
        <v>837</v>
      </c>
      <c r="B57" s="641" t="s">
        <v>10648</v>
      </c>
      <c r="C57" s="1" t="s">
        <v>10649</v>
      </c>
      <c r="D57" s="13">
        <v>7981</v>
      </c>
      <c r="F57" s="641" t="s">
        <v>10602</v>
      </c>
      <c r="I57" s="1"/>
      <c r="K57" s="1"/>
    </row>
    <row r="58" spans="1:11">
      <c r="A58" s="641" t="s">
        <v>838</v>
      </c>
      <c r="B58" s="641" t="s">
        <v>10650</v>
      </c>
      <c r="C58" s="1" t="s">
        <v>10651</v>
      </c>
      <c r="D58" s="13">
        <v>12648</v>
      </c>
      <c r="F58" s="641" t="s">
        <v>10604</v>
      </c>
      <c r="I58" s="1"/>
      <c r="K58" s="1"/>
    </row>
    <row r="59" spans="1:11">
      <c r="A59" s="641" t="s">
        <v>840</v>
      </c>
      <c r="B59" s="641" t="s">
        <v>5043</v>
      </c>
      <c r="C59" s="1" t="s">
        <v>10652</v>
      </c>
      <c r="D59" s="13">
        <v>12317</v>
      </c>
      <c r="F59" s="641" t="s">
        <v>10602</v>
      </c>
      <c r="I59" s="1"/>
      <c r="K59" s="1"/>
    </row>
    <row r="60" spans="1:11">
      <c r="A60" s="641" t="s">
        <v>841</v>
      </c>
      <c r="B60" s="641" t="s">
        <v>10653</v>
      </c>
      <c r="C60" s="1" t="s">
        <v>10654</v>
      </c>
      <c r="D60" s="13">
        <v>7535</v>
      </c>
      <c r="F60" s="641" t="s">
        <v>10605</v>
      </c>
      <c r="I60" s="1"/>
      <c r="K60" s="1"/>
    </row>
    <row r="61" spans="1:11">
      <c r="A61" s="641" t="s">
        <v>878</v>
      </c>
      <c r="B61" s="641" t="s">
        <v>10655</v>
      </c>
      <c r="C61" s="1" t="s">
        <v>10656</v>
      </c>
      <c r="D61" s="13">
        <v>11245</v>
      </c>
      <c r="F61" s="641" t="s">
        <v>10602</v>
      </c>
      <c r="I61" s="1"/>
      <c r="K61" s="1"/>
    </row>
    <row r="62" spans="1:11">
      <c r="A62" s="641" t="s">
        <v>879</v>
      </c>
      <c r="B62" s="641" t="s">
        <v>10657</v>
      </c>
      <c r="C62" s="1" t="s">
        <v>10658</v>
      </c>
      <c r="D62" s="13">
        <v>7983</v>
      </c>
      <c r="F62" s="641" t="s">
        <v>10605</v>
      </c>
      <c r="I62" s="1"/>
      <c r="K62" s="1"/>
    </row>
    <row r="63" spans="1:11">
      <c r="A63" s="641" t="s">
        <v>880</v>
      </c>
      <c r="B63" s="641" t="s">
        <v>10659</v>
      </c>
      <c r="C63" s="1" t="s">
        <v>10660</v>
      </c>
      <c r="D63" s="13">
        <v>11247</v>
      </c>
      <c r="F63" s="641" t="s">
        <v>10602</v>
      </c>
      <c r="I63" s="1"/>
      <c r="K63" s="1"/>
    </row>
    <row r="64" spans="1:11">
      <c r="A64" s="641" t="s">
        <v>721</v>
      </c>
      <c r="B64" s="641" t="s">
        <v>10661</v>
      </c>
      <c r="C64" s="1" t="s">
        <v>10662</v>
      </c>
      <c r="D64" s="13">
        <v>7475</v>
      </c>
      <c r="F64" s="641" t="s">
        <v>10613</v>
      </c>
      <c r="I64" s="1"/>
      <c r="K64" s="1"/>
    </row>
    <row r="65" spans="1:11">
      <c r="A65" s="641" t="s">
        <v>722</v>
      </c>
      <c r="B65" s="641" t="s">
        <v>10663</v>
      </c>
      <c r="C65" s="1" t="s">
        <v>10664</v>
      </c>
      <c r="D65" s="13">
        <v>10720</v>
      </c>
      <c r="F65" s="641" t="s">
        <v>10613</v>
      </c>
      <c r="I65" s="1"/>
      <c r="K65" s="1"/>
    </row>
    <row r="66" spans="1:11">
      <c r="A66" s="641" t="s">
        <v>723</v>
      </c>
      <c r="B66" s="641" t="s">
        <v>10665</v>
      </c>
      <c r="C66" s="1" t="s">
        <v>10666</v>
      </c>
      <c r="D66" s="13">
        <v>11940</v>
      </c>
      <c r="F66" s="641" t="s">
        <v>10604</v>
      </c>
      <c r="I66" s="1"/>
      <c r="K66" s="1"/>
    </row>
    <row r="67" spans="1:11">
      <c r="A67" s="641"/>
      <c r="B67" s="641"/>
      <c r="D67" s="644"/>
      <c r="F67" s="641"/>
    </row>
    <row r="68" spans="1:11">
      <c r="A68" s="641" t="s">
        <v>10602</v>
      </c>
      <c r="D68" s="644">
        <f t="shared" ref="D68" si="13">D41+SUM(D55:D57)+D59+D61+D63</f>
        <v>76641</v>
      </c>
    </row>
    <row r="69" spans="1:11">
      <c r="A69" s="641" t="s">
        <v>10604</v>
      </c>
      <c r="D69" s="644">
        <f>SUM(D42:D44)+D48+D49+D58+D66</f>
        <v>77061</v>
      </c>
    </row>
    <row r="70" spans="1:11">
      <c r="A70" s="641" t="s">
        <v>10667</v>
      </c>
      <c r="D70" s="644">
        <f>D47+D50+D51+D53+D54+D60+D62</f>
        <v>57825</v>
      </c>
    </row>
    <row r="71" spans="1:11">
      <c r="A71" s="641" t="s">
        <v>10613</v>
      </c>
      <c r="D71" s="644">
        <f>D45+D46+D52+D64+D65</f>
        <v>42589</v>
      </c>
    </row>
    <row r="73" spans="1:11">
      <c r="A73" s="641" t="s">
        <v>10668</v>
      </c>
    </row>
    <row r="74" spans="1:11">
      <c r="A74" s="641"/>
    </row>
    <row r="75" spans="1:11">
      <c r="A75" s="641"/>
    </row>
    <row r="76" spans="1:11">
      <c r="D76" s="10" t="s">
        <v>285</v>
      </c>
      <c r="E76" s="16"/>
      <c r="F76" s="41" t="s">
        <v>4116</v>
      </c>
    </row>
    <row r="77" spans="1:11" ht="15" customHeight="1">
      <c r="D77" s="15">
        <v>2016</v>
      </c>
      <c r="E77" s="16"/>
      <c r="F77" s="18" t="s">
        <v>286</v>
      </c>
    </row>
    <row r="78" spans="1:11">
      <c r="A78" s="641" t="s">
        <v>10669</v>
      </c>
      <c r="D78" s="644">
        <f t="shared" ref="D78" si="14">SUM(D79:D101)</f>
        <v>175422</v>
      </c>
    </row>
    <row r="79" spans="1:11">
      <c r="A79" s="641" t="s">
        <v>812</v>
      </c>
      <c r="B79" s="641" t="s">
        <v>3275</v>
      </c>
      <c r="C79" s="1" t="s">
        <v>10670</v>
      </c>
      <c r="D79" s="7">
        <v>8525</v>
      </c>
      <c r="F79" s="641" t="s">
        <v>10612</v>
      </c>
      <c r="I79" s="1"/>
      <c r="K79" s="1"/>
    </row>
    <row r="80" spans="1:11">
      <c r="A80" s="641" t="s">
        <v>813</v>
      </c>
      <c r="B80" s="641" t="s">
        <v>10049</v>
      </c>
      <c r="C80" s="1" t="s">
        <v>10671</v>
      </c>
      <c r="D80" s="7">
        <v>6321</v>
      </c>
      <c r="F80" s="641" t="s">
        <v>10612</v>
      </c>
      <c r="I80" s="1"/>
      <c r="K80" s="1"/>
    </row>
    <row r="81" spans="1:11">
      <c r="A81" s="641" t="s">
        <v>814</v>
      </c>
      <c r="B81" s="641" t="s">
        <v>10672</v>
      </c>
      <c r="C81" s="1" t="s">
        <v>10673</v>
      </c>
      <c r="D81" s="8">
        <v>9463</v>
      </c>
      <c r="F81" s="641" t="s">
        <v>10613</v>
      </c>
      <c r="I81" s="1"/>
      <c r="K81" s="1"/>
    </row>
    <row r="82" spans="1:11">
      <c r="A82" s="641" t="s">
        <v>815</v>
      </c>
      <c r="B82" s="641" t="s">
        <v>10674</v>
      </c>
      <c r="C82" s="1" t="s">
        <v>10675</v>
      </c>
      <c r="D82" s="7">
        <v>6875</v>
      </c>
      <c r="F82" s="641" t="s">
        <v>10610</v>
      </c>
      <c r="I82" s="1"/>
      <c r="K82" s="1"/>
    </row>
    <row r="83" spans="1:11">
      <c r="A83" s="641" t="s">
        <v>816</v>
      </c>
      <c r="B83" s="641" t="s">
        <v>10676</v>
      </c>
      <c r="C83" s="1" t="s">
        <v>10677</v>
      </c>
      <c r="D83" s="7">
        <v>5921</v>
      </c>
      <c r="F83" s="641" t="s">
        <v>10610</v>
      </c>
      <c r="I83" s="1"/>
      <c r="K83" s="1"/>
    </row>
    <row r="84" spans="1:11">
      <c r="A84" s="641" t="s">
        <v>826</v>
      </c>
      <c r="B84" s="641" t="s">
        <v>10678</v>
      </c>
      <c r="C84" s="1" t="s">
        <v>10679</v>
      </c>
      <c r="D84" s="7">
        <v>6221</v>
      </c>
      <c r="F84" s="641" t="s">
        <v>10612</v>
      </c>
      <c r="I84" s="1"/>
      <c r="K84" s="1"/>
    </row>
    <row r="85" spans="1:11">
      <c r="A85" s="641" t="s">
        <v>827</v>
      </c>
      <c r="B85" s="641" t="s">
        <v>10680</v>
      </c>
      <c r="C85" s="1" t="s">
        <v>10681</v>
      </c>
      <c r="D85" s="8">
        <v>8746</v>
      </c>
      <c r="F85" s="641" t="s">
        <v>10613</v>
      </c>
      <c r="I85" s="1"/>
      <c r="K85" s="1"/>
    </row>
    <row r="86" spans="1:11">
      <c r="A86" s="641" t="s">
        <v>828</v>
      </c>
      <c r="B86" s="641" t="s">
        <v>10682</v>
      </c>
      <c r="C86" s="1" t="s">
        <v>10683</v>
      </c>
      <c r="D86" s="7">
        <v>8898</v>
      </c>
      <c r="F86" s="641" t="s">
        <v>10612</v>
      </c>
      <c r="I86" s="1"/>
      <c r="K86" s="1"/>
    </row>
    <row r="87" spans="1:11">
      <c r="A87" s="641" t="s">
        <v>829</v>
      </c>
      <c r="B87" s="641" t="s">
        <v>10684</v>
      </c>
      <c r="C87" s="1" t="s">
        <v>10685</v>
      </c>
      <c r="D87" s="7">
        <v>9781</v>
      </c>
      <c r="F87" s="641" t="s">
        <v>10610</v>
      </c>
      <c r="I87" s="1"/>
      <c r="K87" s="1"/>
    </row>
    <row r="88" spans="1:11">
      <c r="A88" s="641" t="s">
        <v>830</v>
      </c>
      <c r="B88" s="641" t="s">
        <v>10686</v>
      </c>
      <c r="C88" s="1" t="s">
        <v>10687</v>
      </c>
      <c r="D88" s="7">
        <v>9255</v>
      </c>
      <c r="F88" s="641" t="s">
        <v>10610</v>
      </c>
      <c r="I88" s="1"/>
      <c r="K88" s="1"/>
    </row>
    <row r="89" spans="1:11">
      <c r="A89" s="641" t="s">
        <v>831</v>
      </c>
      <c r="B89" s="642" t="s">
        <v>10688</v>
      </c>
      <c r="C89" s="1" t="s">
        <v>10689</v>
      </c>
      <c r="D89" s="7">
        <v>8700</v>
      </c>
      <c r="F89" s="641" t="s">
        <v>10610</v>
      </c>
      <c r="I89" s="1"/>
      <c r="K89" s="1"/>
    </row>
    <row r="90" spans="1:11">
      <c r="A90" s="641" t="s">
        <v>832</v>
      </c>
      <c r="B90" s="641" t="s">
        <v>10690</v>
      </c>
      <c r="C90" s="1" t="s">
        <v>10691</v>
      </c>
      <c r="D90" s="7">
        <v>8430</v>
      </c>
      <c r="F90" s="641" t="s">
        <v>10610</v>
      </c>
      <c r="I90" s="1"/>
      <c r="K90" s="1"/>
    </row>
    <row r="91" spans="1:11">
      <c r="A91" s="641" t="s">
        <v>833</v>
      </c>
      <c r="B91" s="641" t="s">
        <v>10692</v>
      </c>
      <c r="C91" s="1" t="s">
        <v>10693</v>
      </c>
      <c r="D91" s="7">
        <v>8643</v>
      </c>
      <c r="F91" s="641" t="s">
        <v>10610</v>
      </c>
      <c r="I91" s="1"/>
      <c r="K91" s="1"/>
    </row>
    <row r="92" spans="1:11">
      <c r="A92" s="641" t="s">
        <v>834</v>
      </c>
      <c r="B92" s="641" t="s">
        <v>10694</v>
      </c>
      <c r="C92" s="1" t="s">
        <v>10695</v>
      </c>
      <c r="D92" s="8">
        <v>8292</v>
      </c>
      <c r="F92" s="641" t="s">
        <v>10612</v>
      </c>
      <c r="I92" s="1"/>
      <c r="K92" s="1"/>
    </row>
    <row r="93" spans="1:11">
      <c r="A93" s="641" t="s">
        <v>835</v>
      </c>
      <c r="B93" s="641" t="s">
        <v>10352</v>
      </c>
      <c r="C93" s="1" t="s">
        <v>10696</v>
      </c>
      <c r="D93" s="8">
        <v>7426</v>
      </c>
      <c r="F93" s="641" t="s">
        <v>10612</v>
      </c>
      <c r="I93" s="1"/>
      <c r="K93" s="1"/>
    </row>
    <row r="94" spans="1:11">
      <c r="A94" s="641" t="s">
        <v>836</v>
      </c>
      <c r="B94" s="641" t="s">
        <v>10697</v>
      </c>
      <c r="C94" s="1" t="s">
        <v>10698</v>
      </c>
      <c r="D94" s="7">
        <v>5455</v>
      </c>
      <c r="F94" s="641" t="s">
        <v>10612</v>
      </c>
      <c r="I94" s="1"/>
      <c r="K94" s="1"/>
    </row>
    <row r="95" spans="1:11">
      <c r="A95" s="641" t="s">
        <v>837</v>
      </c>
      <c r="B95" s="641" t="s">
        <v>10699</v>
      </c>
      <c r="C95" s="1" t="s">
        <v>10700</v>
      </c>
      <c r="D95" s="8">
        <v>8834</v>
      </c>
      <c r="F95" s="641" t="s">
        <v>10612</v>
      </c>
      <c r="I95" s="1"/>
      <c r="K95" s="1"/>
    </row>
    <row r="96" spans="1:11">
      <c r="A96" s="641" t="s">
        <v>838</v>
      </c>
      <c r="B96" s="641" t="s">
        <v>10701</v>
      </c>
      <c r="C96" s="1" t="s">
        <v>10702</v>
      </c>
      <c r="D96" s="8">
        <v>8725</v>
      </c>
      <c r="F96" s="641" t="s">
        <v>10613</v>
      </c>
      <c r="I96" s="1"/>
      <c r="K96" s="1"/>
    </row>
    <row r="97" spans="1:11">
      <c r="A97" s="641" t="s">
        <v>840</v>
      </c>
      <c r="B97" s="641" t="s">
        <v>7667</v>
      </c>
      <c r="C97" s="1" t="s">
        <v>10703</v>
      </c>
      <c r="D97" s="8">
        <v>4688</v>
      </c>
      <c r="F97" s="641" t="s">
        <v>10613</v>
      </c>
      <c r="I97" s="1"/>
      <c r="K97" s="1"/>
    </row>
    <row r="98" spans="1:11">
      <c r="A98" s="641" t="s">
        <v>841</v>
      </c>
      <c r="B98" s="641" t="s">
        <v>10704</v>
      </c>
      <c r="C98" s="1" t="s">
        <v>10705</v>
      </c>
      <c r="D98" s="7">
        <v>5309</v>
      </c>
      <c r="F98" s="641" t="s">
        <v>10610</v>
      </c>
      <c r="I98" s="1"/>
      <c r="K98" s="1"/>
    </row>
    <row r="99" spans="1:11">
      <c r="A99" s="647">
        <v>21</v>
      </c>
      <c r="B99" s="641" t="s">
        <v>10706</v>
      </c>
      <c r="C99" s="1" t="s">
        <v>10707</v>
      </c>
      <c r="D99" s="7">
        <v>5490</v>
      </c>
      <c r="F99" s="641" t="s">
        <v>10612</v>
      </c>
      <c r="I99" s="1"/>
      <c r="K99" s="1"/>
    </row>
    <row r="100" spans="1:11">
      <c r="A100" s="647">
        <v>22</v>
      </c>
      <c r="B100" s="641" t="s">
        <v>4475</v>
      </c>
      <c r="C100" s="1" t="s">
        <v>10708</v>
      </c>
      <c r="D100" s="7">
        <v>9164</v>
      </c>
      <c r="F100" s="641" t="s">
        <v>10610</v>
      </c>
      <c r="I100" s="1"/>
      <c r="K100" s="1"/>
    </row>
    <row r="101" spans="1:11">
      <c r="A101" s="647">
        <v>23</v>
      </c>
      <c r="B101" s="641" t="s">
        <v>8716</v>
      </c>
      <c r="C101" s="1" t="s">
        <v>10709</v>
      </c>
      <c r="D101" s="8">
        <v>6260</v>
      </c>
      <c r="F101" s="641" t="s">
        <v>10612</v>
      </c>
      <c r="I101" s="1"/>
      <c r="K101" s="1"/>
    </row>
    <row r="102" spans="1:11">
      <c r="D102" s="646"/>
    </row>
    <row r="103" spans="1:11">
      <c r="A103" s="641" t="s">
        <v>10612</v>
      </c>
      <c r="D103" s="644">
        <f>D79+D80+D84+D86+SUM(D92:D95)+D99+D101</f>
        <v>71722</v>
      </c>
    </row>
    <row r="104" spans="1:11">
      <c r="A104" s="641" t="s">
        <v>10610</v>
      </c>
      <c r="D104" s="644">
        <f>D82+D83+SUM(D87:D91)+D98+D100</f>
        <v>72078</v>
      </c>
    </row>
    <row r="105" spans="1:11">
      <c r="A105" s="641" t="s">
        <v>10710</v>
      </c>
      <c r="D105" s="644">
        <f>D81+D85+D96+D97</f>
        <v>31622</v>
      </c>
    </row>
    <row r="106" spans="1:11">
      <c r="A106" s="641"/>
      <c r="B106" s="641"/>
      <c r="D106" s="648"/>
    </row>
    <row r="107" spans="1:11">
      <c r="A107" s="641" t="s">
        <v>10711</v>
      </c>
    </row>
    <row r="108" spans="1:11">
      <c r="A108" s="641"/>
    </row>
    <row r="109" spans="1:11">
      <c r="A109" s="641"/>
    </row>
    <row r="110" spans="1:11">
      <c r="D110" s="10" t="s">
        <v>285</v>
      </c>
      <c r="E110" s="16"/>
      <c r="F110" s="41" t="s">
        <v>4116</v>
      </c>
    </row>
    <row r="111" spans="1:11">
      <c r="D111" s="15">
        <v>2016</v>
      </c>
      <c r="E111" s="16"/>
      <c r="F111" s="18" t="s">
        <v>286</v>
      </c>
    </row>
    <row r="112" spans="1:11">
      <c r="A112" s="641" t="s">
        <v>10600</v>
      </c>
      <c r="D112" s="644">
        <f t="shared" ref="D112" si="15">SUM(D113:D127)</f>
        <v>112541</v>
      </c>
    </row>
    <row r="113" spans="1:11">
      <c r="A113" s="641" t="s">
        <v>812</v>
      </c>
      <c r="B113" s="641" t="s">
        <v>10712</v>
      </c>
      <c r="C113" s="1" t="s">
        <v>10713</v>
      </c>
      <c r="D113" s="13">
        <v>8502</v>
      </c>
      <c r="F113" s="641" t="s">
        <v>10609</v>
      </c>
      <c r="I113" s="1"/>
      <c r="K113" s="1"/>
    </row>
    <row r="114" spans="1:11">
      <c r="A114" s="641" t="s">
        <v>813</v>
      </c>
      <c r="B114" s="641" t="s">
        <v>10714</v>
      </c>
      <c r="C114" s="1" t="s">
        <v>10715</v>
      </c>
      <c r="D114" s="13">
        <v>6268</v>
      </c>
      <c r="F114" s="641" t="s">
        <v>10607</v>
      </c>
      <c r="I114" s="1"/>
      <c r="K114" s="1"/>
    </row>
    <row r="115" spans="1:11">
      <c r="A115" s="641" t="s">
        <v>814</v>
      </c>
      <c r="B115" s="641" t="s">
        <v>10716</v>
      </c>
      <c r="C115" s="1" t="s">
        <v>10717</v>
      </c>
      <c r="D115" s="13">
        <v>7204</v>
      </c>
      <c r="F115" s="641" t="s">
        <v>10607</v>
      </c>
      <c r="I115" s="1"/>
      <c r="K115" s="1"/>
    </row>
    <row r="116" spans="1:11">
      <c r="A116" s="641" t="s">
        <v>815</v>
      </c>
      <c r="B116" s="641" t="s">
        <v>10718</v>
      </c>
      <c r="C116" s="1" t="s">
        <v>10719</v>
      </c>
      <c r="D116" s="13">
        <v>8218</v>
      </c>
      <c r="F116" s="641" t="s">
        <v>10609</v>
      </c>
      <c r="I116" s="1"/>
      <c r="K116" s="1"/>
    </row>
    <row r="117" spans="1:11">
      <c r="A117" s="641" t="s">
        <v>816</v>
      </c>
      <c r="B117" s="641" t="s">
        <v>10720</v>
      </c>
      <c r="C117" s="1" t="s">
        <v>10721</v>
      </c>
      <c r="D117" s="13">
        <v>7717</v>
      </c>
      <c r="F117" s="641" t="s">
        <v>10609</v>
      </c>
      <c r="I117" s="1"/>
      <c r="K117" s="1"/>
    </row>
    <row r="118" spans="1:11">
      <c r="A118" s="641" t="s">
        <v>826</v>
      </c>
      <c r="B118" s="641" t="s">
        <v>10722</v>
      </c>
      <c r="C118" s="1" t="s">
        <v>10723</v>
      </c>
      <c r="D118" s="13">
        <v>8953</v>
      </c>
      <c r="F118" s="641" t="s">
        <v>10609</v>
      </c>
      <c r="I118" s="1"/>
      <c r="K118" s="1"/>
    </row>
    <row r="119" spans="1:11">
      <c r="A119" s="641" t="s">
        <v>827</v>
      </c>
      <c r="B119" s="641" t="s">
        <v>10724</v>
      </c>
      <c r="C119" s="1" t="s">
        <v>10725</v>
      </c>
      <c r="D119" s="13">
        <v>8529</v>
      </c>
      <c r="F119" s="641" t="s">
        <v>10607</v>
      </c>
      <c r="I119" s="1"/>
      <c r="K119" s="1"/>
    </row>
    <row r="120" spans="1:11">
      <c r="A120" s="641" t="s">
        <v>828</v>
      </c>
      <c r="B120" s="641" t="s">
        <v>303</v>
      </c>
      <c r="C120" s="1" t="s">
        <v>10726</v>
      </c>
      <c r="D120" s="13">
        <v>8587</v>
      </c>
      <c r="F120" s="641" t="s">
        <v>10609</v>
      </c>
      <c r="I120" s="1"/>
      <c r="K120" s="1"/>
    </row>
    <row r="121" spans="1:11">
      <c r="A121" s="641" t="s">
        <v>829</v>
      </c>
      <c r="B121" s="641" t="s">
        <v>10727</v>
      </c>
      <c r="C121" s="1" t="s">
        <v>10728</v>
      </c>
      <c r="D121" s="13">
        <v>8526</v>
      </c>
      <c r="F121" s="641" t="s">
        <v>10609</v>
      </c>
      <c r="I121" s="1"/>
      <c r="K121" s="1"/>
    </row>
    <row r="122" spans="1:11">
      <c r="A122" s="641" t="s">
        <v>830</v>
      </c>
      <c r="B122" s="641" t="s">
        <v>10729</v>
      </c>
      <c r="C122" s="1" t="s">
        <v>10730</v>
      </c>
      <c r="D122" s="13">
        <v>7837</v>
      </c>
      <c r="F122" s="641" t="s">
        <v>10609</v>
      </c>
      <c r="I122" s="1"/>
      <c r="K122" s="1"/>
    </row>
    <row r="123" spans="1:11">
      <c r="A123" s="641" t="s">
        <v>831</v>
      </c>
      <c r="B123" s="641" t="s">
        <v>6984</v>
      </c>
      <c r="C123" s="1" t="s">
        <v>10731</v>
      </c>
      <c r="D123" s="13">
        <v>7679</v>
      </c>
      <c r="F123" s="641" t="s">
        <v>10609</v>
      </c>
      <c r="I123" s="1"/>
      <c r="K123" s="1"/>
    </row>
    <row r="124" spans="1:11">
      <c r="A124" s="641" t="s">
        <v>832</v>
      </c>
      <c r="B124" s="641" t="s">
        <v>10732</v>
      </c>
      <c r="C124" s="1" t="s">
        <v>10733</v>
      </c>
      <c r="D124" s="13">
        <v>5714</v>
      </c>
      <c r="F124" s="641" t="s">
        <v>10609</v>
      </c>
      <c r="I124" s="1"/>
      <c r="K124" s="1"/>
    </row>
    <row r="125" spans="1:11">
      <c r="A125" s="641" t="s">
        <v>833</v>
      </c>
      <c r="B125" s="641" t="s">
        <v>10734</v>
      </c>
      <c r="C125" s="1" t="s">
        <v>10735</v>
      </c>
      <c r="D125" s="13">
        <v>4495</v>
      </c>
      <c r="F125" s="641" t="s">
        <v>10607</v>
      </c>
      <c r="I125" s="1"/>
      <c r="K125" s="1"/>
    </row>
    <row r="126" spans="1:11">
      <c r="A126" s="641" t="s">
        <v>834</v>
      </c>
      <c r="B126" s="641" t="s">
        <v>10736</v>
      </c>
      <c r="C126" s="1" t="s">
        <v>10737</v>
      </c>
      <c r="D126" s="13">
        <v>5791</v>
      </c>
      <c r="F126" s="641" t="s">
        <v>10607</v>
      </c>
      <c r="I126" s="1"/>
      <c r="K126" s="1"/>
    </row>
    <row r="127" spans="1:11">
      <c r="A127" s="647">
        <v>15</v>
      </c>
      <c r="B127" s="641" t="s">
        <v>10738</v>
      </c>
      <c r="C127" s="1" t="s">
        <v>10739</v>
      </c>
      <c r="D127" s="13">
        <v>8521</v>
      </c>
      <c r="F127" s="641" t="s">
        <v>10607</v>
      </c>
      <c r="I127" s="1"/>
      <c r="K127" s="1"/>
    </row>
    <row r="128" spans="1:11">
      <c r="D128" s="646"/>
    </row>
    <row r="129" spans="1:11">
      <c r="A129" s="641" t="s">
        <v>10740</v>
      </c>
      <c r="D129" s="644">
        <f>D114+D115+D119+SUM(D125:D127)</f>
        <v>40808</v>
      </c>
    </row>
    <row r="130" spans="1:11">
      <c r="A130" s="641" t="s">
        <v>10609</v>
      </c>
      <c r="D130" s="644">
        <f>D113+SUM(D116:D118)+SUM(D120:D124)</f>
        <v>71733</v>
      </c>
    </row>
    <row r="132" spans="1:11">
      <c r="A132" s="641" t="s">
        <v>10741</v>
      </c>
    </row>
    <row r="133" spans="1:11">
      <c r="A133" s="641"/>
    </row>
    <row r="134" spans="1:11">
      <c r="A134" s="641"/>
    </row>
    <row r="135" spans="1:11">
      <c r="D135" s="10" t="s">
        <v>285</v>
      </c>
      <c r="E135" s="16"/>
      <c r="F135" s="41" t="s">
        <v>4116</v>
      </c>
    </row>
    <row r="136" spans="1:11">
      <c r="D136" s="15">
        <v>2016</v>
      </c>
      <c r="E136" s="16"/>
      <c r="F136" s="18" t="s">
        <v>286</v>
      </c>
    </row>
    <row r="137" spans="1:11" ht="15" customHeight="1">
      <c r="A137" s="641" t="s">
        <v>10601</v>
      </c>
      <c r="D137" s="644">
        <f t="shared" ref="D137" si="16">SUM(D138:D154)</f>
        <v>119916</v>
      </c>
    </row>
    <row r="138" spans="1:11">
      <c r="A138" s="641" t="s">
        <v>812</v>
      </c>
      <c r="B138" s="641" t="s">
        <v>10742</v>
      </c>
      <c r="C138" s="1" t="s">
        <v>10743</v>
      </c>
      <c r="D138" s="13">
        <v>8808</v>
      </c>
      <c r="F138" s="641" t="s">
        <v>10614</v>
      </c>
      <c r="I138" s="1"/>
      <c r="K138" s="1"/>
    </row>
    <row r="139" spans="1:11">
      <c r="A139" s="641" t="s">
        <v>813</v>
      </c>
      <c r="B139" s="642" t="s">
        <v>10744</v>
      </c>
      <c r="C139" s="1" t="s">
        <v>10745</v>
      </c>
      <c r="D139" s="13">
        <v>5618</v>
      </c>
      <c r="F139" s="641" t="s">
        <v>10605</v>
      </c>
      <c r="I139" s="1"/>
      <c r="K139" s="1"/>
    </row>
    <row r="140" spans="1:11">
      <c r="A140" s="641" t="s">
        <v>814</v>
      </c>
      <c r="B140" s="642" t="s">
        <v>10746</v>
      </c>
      <c r="C140" s="1" t="s">
        <v>10747</v>
      </c>
      <c r="D140" s="13">
        <v>6187</v>
      </c>
      <c r="F140" s="641" t="s">
        <v>10605</v>
      </c>
      <c r="I140" s="1"/>
      <c r="K140" s="1"/>
    </row>
    <row r="141" spans="1:11">
      <c r="A141" s="641" t="s">
        <v>815</v>
      </c>
      <c r="B141" s="642" t="s">
        <v>10748</v>
      </c>
      <c r="C141" s="1" t="s">
        <v>10749</v>
      </c>
      <c r="D141" s="13">
        <v>5629</v>
      </c>
      <c r="F141" s="641" t="s">
        <v>10605</v>
      </c>
      <c r="I141" s="1"/>
      <c r="K141" s="1"/>
    </row>
    <row r="142" spans="1:11">
      <c r="A142" s="641" t="s">
        <v>816</v>
      </c>
      <c r="B142" s="642" t="s">
        <v>5408</v>
      </c>
      <c r="C142" s="1" t="s">
        <v>10750</v>
      </c>
      <c r="D142" s="13">
        <v>8430</v>
      </c>
      <c r="F142" s="641" t="s">
        <v>10607</v>
      </c>
      <c r="I142" s="1"/>
      <c r="K142" s="1"/>
    </row>
    <row r="143" spans="1:11">
      <c r="A143" s="641" t="s">
        <v>826</v>
      </c>
      <c r="B143" s="641" t="s">
        <v>4814</v>
      </c>
      <c r="C143" s="1" t="s">
        <v>10751</v>
      </c>
      <c r="D143" s="13">
        <v>8835</v>
      </c>
      <c r="F143" s="641" t="s">
        <v>10614</v>
      </c>
      <c r="I143" s="1"/>
      <c r="K143" s="1"/>
    </row>
    <row r="144" spans="1:11">
      <c r="A144" s="641" t="s">
        <v>827</v>
      </c>
      <c r="B144" s="642" t="s">
        <v>10752</v>
      </c>
      <c r="C144" s="1" t="s">
        <v>10753</v>
      </c>
      <c r="D144" s="13">
        <v>8632</v>
      </c>
      <c r="F144" s="642" t="s">
        <v>10607</v>
      </c>
      <c r="I144" s="1"/>
      <c r="K144" s="1"/>
    </row>
    <row r="145" spans="1:11">
      <c r="A145" s="641" t="s">
        <v>828</v>
      </c>
      <c r="B145" s="642" t="s">
        <v>10754</v>
      </c>
      <c r="C145" s="1" t="s">
        <v>10755</v>
      </c>
      <c r="D145" s="13">
        <v>5017</v>
      </c>
      <c r="F145" s="642" t="s">
        <v>10607</v>
      </c>
      <c r="I145" s="1"/>
      <c r="K145" s="1"/>
    </row>
    <row r="146" spans="1:11">
      <c r="A146" s="641" t="s">
        <v>829</v>
      </c>
      <c r="B146" s="641" t="s">
        <v>10756</v>
      </c>
      <c r="C146" s="1" t="s">
        <v>10757</v>
      </c>
      <c r="D146" s="13">
        <v>7458</v>
      </c>
      <c r="F146" s="641" t="s">
        <v>10614</v>
      </c>
      <c r="I146" s="1"/>
      <c r="K146" s="1"/>
    </row>
    <row r="147" spans="1:11">
      <c r="A147" s="641" t="s">
        <v>830</v>
      </c>
      <c r="B147" s="642" t="s">
        <v>10758</v>
      </c>
      <c r="C147" s="1" t="s">
        <v>10759</v>
      </c>
      <c r="D147" s="13">
        <v>2747</v>
      </c>
      <c r="F147" s="642" t="s">
        <v>10614</v>
      </c>
      <c r="I147" s="1"/>
      <c r="K147" s="1"/>
    </row>
    <row r="148" spans="1:11">
      <c r="A148" s="641" t="s">
        <v>831</v>
      </c>
      <c r="B148" s="641" t="s">
        <v>10760</v>
      </c>
      <c r="C148" s="1" t="s">
        <v>10761</v>
      </c>
      <c r="D148" s="13">
        <v>8662</v>
      </c>
      <c r="F148" s="641" t="s">
        <v>10614</v>
      </c>
      <c r="I148" s="1"/>
      <c r="K148" s="1"/>
    </row>
    <row r="149" spans="1:11">
      <c r="A149" s="641" t="s">
        <v>832</v>
      </c>
      <c r="B149" s="641" t="s">
        <v>10762</v>
      </c>
      <c r="C149" s="1" t="s">
        <v>10763</v>
      </c>
      <c r="D149" s="13">
        <v>7726</v>
      </c>
      <c r="F149" s="641" t="s">
        <v>10614</v>
      </c>
      <c r="I149" s="1"/>
      <c r="K149" s="1"/>
    </row>
    <row r="150" spans="1:11">
      <c r="A150" s="641" t="s">
        <v>833</v>
      </c>
      <c r="B150" s="641" t="s">
        <v>10764</v>
      </c>
      <c r="C150" s="1" t="s">
        <v>10765</v>
      </c>
      <c r="D150" s="13">
        <v>8583</v>
      </c>
      <c r="F150" s="641" t="s">
        <v>10607</v>
      </c>
      <c r="I150" s="1"/>
      <c r="K150" s="1"/>
    </row>
    <row r="151" spans="1:11">
      <c r="A151" s="641" t="s">
        <v>834</v>
      </c>
      <c r="B151" s="641" t="s">
        <v>10766</v>
      </c>
      <c r="C151" s="1" t="s">
        <v>10767</v>
      </c>
      <c r="D151" s="13">
        <v>5169</v>
      </c>
      <c r="F151" s="641" t="s">
        <v>10614</v>
      </c>
      <c r="I151" s="1"/>
      <c r="K151" s="1"/>
    </row>
    <row r="152" spans="1:11">
      <c r="A152" s="641" t="s">
        <v>835</v>
      </c>
      <c r="B152" s="641" t="s">
        <v>10768</v>
      </c>
      <c r="C152" s="1" t="s">
        <v>10769</v>
      </c>
      <c r="D152" s="13">
        <v>7728</v>
      </c>
      <c r="F152" s="641" t="s">
        <v>10614</v>
      </c>
      <c r="I152" s="1"/>
      <c r="K152" s="1"/>
    </row>
    <row r="153" spans="1:11">
      <c r="A153" s="647">
        <v>16</v>
      </c>
      <c r="B153" s="642" t="s">
        <v>10770</v>
      </c>
      <c r="C153" s="1" t="s">
        <v>10771</v>
      </c>
      <c r="D153" s="13">
        <v>9947</v>
      </c>
      <c r="F153" s="641" t="s">
        <v>10614</v>
      </c>
      <c r="I153" s="1"/>
      <c r="K153" s="1"/>
    </row>
    <row r="154" spans="1:11">
      <c r="A154" s="647">
        <v>17</v>
      </c>
      <c r="B154" s="642" t="s">
        <v>2865</v>
      </c>
      <c r="C154" s="1" t="s">
        <v>10772</v>
      </c>
      <c r="D154" s="13">
        <v>4740</v>
      </c>
      <c r="F154" s="642" t="s">
        <v>10614</v>
      </c>
      <c r="I154" s="1"/>
      <c r="K154" s="1"/>
    </row>
    <row r="156" spans="1:11">
      <c r="A156" s="641" t="s">
        <v>10667</v>
      </c>
      <c r="D156" s="644">
        <f>SUM(D139:D141)</f>
        <v>17434</v>
      </c>
    </row>
    <row r="157" spans="1:11">
      <c r="A157" s="641" t="s">
        <v>10740</v>
      </c>
      <c r="D157" s="644">
        <f>D142+D144+D145+D150</f>
        <v>30662</v>
      </c>
    </row>
    <row r="158" spans="1:11">
      <c r="A158" s="641" t="s">
        <v>10614</v>
      </c>
      <c r="D158" s="644">
        <f>D138+D143+SUM(D146:D149)+SUM(D151:D154)</f>
        <v>71820</v>
      </c>
    </row>
    <row r="160" spans="1:11">
      <c r="A160" s="641" t="s">
        <v>10773</v>
      </c>
    </row>
  </sheetData>
  <printOptions gridLinesSet="0"/>
  <pageMargins left="0.78740157480314965" right="0" top="0.51181102362204722" bottom="0.51181102362204722" header="0.51181102362204722" footer="0.51181102362204722"/>
  <pageSetup paperSize="9" scale="62" orientation="portrait" horizontalDpi="300" verticalDpi="300" r:id="rId1"/>
  <headerFooter alignWithMargins="0">
    <oddFooter>&amp;C&amp;"Times New Roman,Regular"&amp;8&amp;P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50"/>
  <sheetViews>
    <sheetView showGridLines="0" zoomScaleNormal="100" workbookViewId="0"/>
  </sheetViews>
  <sheetFormatPr defaultColWidth="14.59765625" defaultRowHeight="14.5"/>
  <cols>
    <col min="1" max="1" width="4.8984375" style="803" customWidth="1"/>
    <col min="2" max="2" width="39.59765625" style="803" customWidth="1"/>
    <col min="3" max="3" width="11.69921875" style="803" customWidth="1"/>
    <col min="4" max="4" width="10" style="803" customWidth="1"/>
    <col min="5" max="5" width="2.296875" style="803" customWidth="1"/>
    <col min="6" max="6" width="25.69921875" style="803" customWidth="1"/>
    <col min="7" max="16384" width="14.59765625" style="803"/>
  </cols>
  <sheetData>
    <row r="1" spans="1:9">
      <c r="A1" s="801" t="s">
        <v>1075</v>
      </c>
      <c r="B1" s="802"/>
      <c r="C1" s="802"/>
      <c r="D1" s="62">
        <v>2016</v>
      </c>
      <c r="E1" s="802"/>
    </row>
    <row r="2" spans="1:9">
      <c r="A2" s="802"/>
      <c r="B2" s="802"/>
      <c r="C2" s="802"/>
      <c r="D2" s="802"/>
      <c r="E2" s="802"/>
      <c r="F2" s="802"/>
    </row>
    <row r="3" spans="1:9">
      <c r="A3" s="801" t="s">
        <v>15137</v>
      </c>
      <c r="B3" s="802"/>
      <c r="C3" s="802"/>
      <c r="D3" s="804">
        <f t="shared" ref="D3" si="0">SUM(D10:D48)</f>
        <v>105448</v>
      </c>
      <c r="E3" s="802"/>
    </row>
    <row r="4" spans="1:9">
      <c r="A4" s="802"/>
      <c r="B4" s="802"/>
      <c r="C4" s="802"/>
      <c r="D4" s="802"/>
      <c r="E4" s="802"/>
      <c r="F4" s="802"/>
    </row>
    <row r="5" spans="1:9">
      <c r="A5" s="801" t="s">
        <v>15138</v>
      </c>
      <c r="D5" s="804">
        <f>SUM(D10:D12)+SUM(D23:D27)+SUM(D34:D42)+D44+D45</f>
        <v>53268</v>
      </c>
      <c r="E5" s="802"/>
      <c r="F5" s="801" t="s">
        <v>15139</v>
      </c>
    </row>
    <row r="6" spans="1:9">
      <c r="A6" s="801"/>
      <c r="D6" s="804"/>
      <c r="E6" s="802"/>
      <c r="F6" s="801"/>
    </row>
    <row r="7" spans="1:9">
      <c r="A7" s="801" t="s">
        <v>15140</v>
      </c>
      <c r="D7" s="804">
        <f>SUM(D13:D22)+SUM(D28:D33)+D43+SUM(D46:D48)</f>
        <v>52180</v>
      </c>
      <c r="E7" s="802"/>
      <c r="F7" s="801" t="s">
        <v>15139</v>
      </c>
    </row>
    <row r="8" spans="1:9">
      <c r="A8" s="801"/>
      <c r="D8" s="804"/>
      <c r="E8" s="802"/>
      <c r="F8" s="801"/>
    </row>
    <row r="9" spans="1:9">
      <c r="A9" s="801"/>
      <c r="D9" s="804"/>
      <c r="E9" s="802"/>
      <c r="F9" s="801"/>
    </row>
    <row r="10" spans="1:9">
      <c r="A10" s="801" t="s">
        <v>812</v>
      </c>
      <c r="B10" s="801" t="s">
        <v>15141</v>
      </c>
      <c r="C10" s="292" t="s">
        <v>15142</v>
      </c>
      <c r="D10" s="293">
        <v>3007</v>
      </c>
      <c r="E10" s="802"/>
      <c r="F10" s="801" t="s">
        <v>15138</v>
      </c>
      <c r="G10" s="292"/>
      <c r="I10" s="292"/>
    </row>
    <row r="11" spans="1:9">
      <c r="A11" s="801" t="s">
        <v>813</v>
      </c>
      <c r="B11" s="801" t="s">
        <v>15143</v>
      </c>
      <c r="C11" s="292" t="s">
        <v>15144</v>
      </c>
      <c r="D11" s="293">
        <v>2627</v>
      </c>
      <c r="E11" s="802"/>
      <c r="F11" s="801" t="s">
        <v>15138</v>
      </c>
      <c r="G11" s="292"/>
      <c r="I11" s="292"/>
    </row>
    <row r="12" spans="1:9">
      <c r="A12" s="801" t="s">
        <v>814</v>
      </c>
      <c r="B12" s="801" t="s">
        <v>15145</v>
      </c>
      <c r="C12" s="292" t="s">
        <v>15146</v>
      </c>
      <c r="D12" s="293">
        <v>5930</v>
      </c>
      <c r="E12" s="802"/>
      <c r="F12" s="801" t="s">
        <v>15138</v>
      </c>
      <c r="G12" s="292"/>
      <c r="I12" s="292"/>
    </row>
    <row r="13" spans="1:9">
      <c r="A13" s="801" t="s">
        <v>815</v>
      </c>
      <c r="B13" s="801" t="s">
        <v>15147</v>
      </c>
      <c r="C13" s="292" t="s">
        <v>15148</v>
      </c>
      <c r="D13" s="293">
        <v>2548</v>
      </c>
      <c r="E13" s="802"/>
      <c r="F13" s="801" t="s">
        <v>15140</v>
      </c>
      <c r="G13" s="292"/>
      <c r="I13" s="292"/>
    </row>
    <row r="14" spans="1:9">
      <c r="A14" s="801" t="s">
        <v>816</v>
      </c>
      <c r="B14" s="801" t="s">
        <v>15149</v>
      </c>
      <c r="C14" s="292" t="s">
        <v>15150</v>
      </c>
      <c r="D14" s="293">
        <v>2758</v>
      </c>
      <c r="E14" s="802"/>
      <c r="F14" s="801" t="s">
        <v>15140</v>
      </c>
      <c r="G14" s="292"/>
      <c r="I14" s="292"/>
    </row>
    <row r="15" spans="1:9">
      <c r="A15" s="801" t="s">
        <v>826</v>
      </c>
      <c r="B15" s="801" t="s">
        <v>15151</v>
      </c>
      <c r="C15" s="292" t="s">
        <v>15152</v>
      </c>
      <c r="D15" s="293">
        <v>2271</v>
      </c>
      <c r="E15" s="802"/>
      <c r="F15" s="801" t="s">
        <v>15140</v>
      </c>
      <c r="G15" s="292"/>
      <c r="I15" s="292"/>
    </row>
    <row r="16" spans="1:9">
      <c r="A16" s="801" t="s">
        <v>827</v>
      </c>
      <c r="B16" s="801" t="s">
        <v>15153</v>
      </c>
      <c r="C16" s="292" t="s">
        <v>15154</v>
      </c>
      <c r="D16" s="293">
        <v>2874</v>
      </c>
      <c r="E16" s="802"/>
      <c r="F16" s="801" t="s">
        <v>15140</v>
      </c>
      <c r="G16" s="292"/>
      <c r="I16" s="292"/>
    </row>
    <row r="17" spans="1:9">
      <c r="A17" s="801" t="s">
        <v>828</v>
      </c>
      <c r="B17" s="801" t="s">
        <v>15155</v>
      </c>
      <c r="C17" s="292" t="s">
        <v>15156</v>
      </c>
      <c r="D17" s="293">
        <v>2393</v>
      </c>
      <c r="E17" s="802"/>
      <c r="F17" s="801" t="s">
        <v>15140</v>
      </c>
      <c r="G17" s="292"/>
      <c r="I17" s="292"/>
    </row>
    <row r="18" spans="1:9">
      <c r="A18" s="801" t="s">
        <v>829</v>
      </c>
      <c r="B18" s="801" t="s">
        <v>15157</v>
      </c>
      <c r="C18" s="292" t="s">
        <v>15158</v>
      </c>
      <c r="D18" s="293">
        <v>2867</v>
      </c>
      <c r="E18" s="802"/>
      <c r="F18" s="801" t="s">
        <v>15140</v>
      </c>
      <c r="G18" s="292"/>
      <c r="I18" s="292"/>
    </row>
    <row r="19" spans="1:9">
      <c r="A19" s="801" t="s">
        <v>830</v>
      </c>
      <c r="B19" s="801" t="s">
        <v>15159</v>
      </c>
      <c r="C19" s="292" t="s">
        <v>15160</v>
      </c>
      <c r="D19" s="293">
        <v>2973</v>
      </c>
      <c r="E19" s="802"/>
      <c r="F19" s="801" t="s">
        <v>15140</v>
      </c>
      <c r="G19" s="292"/>
      <c r="I19" s="292"/>
    </row>
    <row r="20" spans="1:9">
      <c r="A20" s="801" t="s">
        <v>831</v>
      </c>
      <c r="B20" s="801" t="s">
        <v>15161</v>
      </c>
      <c r="C20" s="292" t="s">
        <v>15162</v>
      </c>
      <c r="D20" s="293">
        <v>2944</v>
      </c>
      <c r="E20" s="802"/>
      <c r="F20" s="801" t="s">
        <v>15140</v>
      </c>
      <c r="G20" s="292"/>
      <c r="I20" s="292"/>
    </row>
    <row r="21" spans="1:9">
      <c r="A21" s="801" t="s">
        <v>832</v>
      </c>
      <c r="B21" s="801" t="s">
        <v>15163</v>
      </c>
      <c r="C21" s="292" t="s">
        <v>15164</v>
      </c>
      <c r="D21" s="293">
        <v>2148</v>
      </c>
      <c r="E21" s="802"/>
      <c r="F21" s="801" t="s">
        <v>15140</v>
      </c>
      <c r="G21" s="292"/>
      <c r="I21" s="292"/>
    </row>
    <row r="22" spans="1:9">
      <c r="A22" s="801" t="s">
        <v>833</v>
      </c>
      <c r="B22" s="801" t="s">
        <v>15165</v>
      </c>
      <c r="C22" s="292" t="s">
        <v>15166</v>
      </c>
      <c r="D22" s="293">
        <v>2421</v>
      </c>
      <c r="E22" s="802"/>
      <c r="F22" s="801" t="s">
        <v>15140</v>
      </c>
      <c r="G22" s="292"/>
      <c r="I22" s="292"/>
    </row>
    <row r="23" spans="1:9">
      <c r="A23" s="801" t="s">
        <v>834</v>
      </c>
      <c r="B23" s="801" t="s">
        <v>15167</v>
      </c>
      <c r="C23" s="292" t="s">
        <v>15168</v>
      </c>
      <c r="D23" s="293">
        <v>2517</v>
      </c>
      <c r="E23" s="802"/>
      <c r="F23" s="801" t="s">
        <v>15138</v>
      </c>
      <c r="G23" s="292"/>
      <c r="I23" s="292"/>
    </row>
    <row r="24" spans="1:9">
      <c r="A24" s="801" t="s">
        <v>835</v>
      </c>
      <c r="B24" s="801" t="s">
        <v>15169</v>
      </c>
      <c r="C24" s="292" t="s">
        <v>15170</v>
      </c>
      <c r="D24" s="293">
        <v>2685</v>
      </c>
      <c r="E24" s="802"/>
      <c r="F24" s="801" t="s">
        <v>15138</v>
      </c>
      <c r="G24" s="292"/>
      <c r="I24" s="292"/>
    </row>
    <row r="25" spans="1:9">
      <c r="A25" s="801" t="s">
        <v>836</v>
      </c>
      <c r="B25" s="801" t="s">
        <v>15171</v>
      </c>
      <c r="C25" s="292" t="s">
        <v>15172</v>
      </c>
      <c r="D25" s="295">
        <v>2785</v>
      </c>
      <c r="E25" s="802"/>
      <c r="F25" s="801" t="s">
        <v>15138</v>
      </c>
      <c r="G25" s="292"/>
      <c r="I25" s="292"/>
    </row>
    <row r="26" spans="1:9">
      <c r="A26" s="801" t="s">
        <v>837</v>
      </c>
      <c r="B26" s="801" t="s">
        <v>15173</v>
      </c>
      <c r="C26" s="292" t="s">
        <v>15174</v>
      </c>
      <c r="D26" s="295">
        <v>2881</v>
      </c>
      <c r="E26" s="802"/>
      <c r="F26" s="801" t="s">
        <v>15138</v>
      </c>
      <c r="G26" s="292"/>
      <c r="I26" s="292"/>
    </row>
    <row r="27" spans="1:9">
      <c r="A27" s="801" t="s">
        <v>838</v>
      </c>
      <c r="B27" s="801" t="s">
        <v>15175</v>
      </c>
      <c r="C27" s="292" t="s">
        <v>15176</v>
      </c>
      <c r="D27" s="295">
        <v>2427</v>
      </c>
      <c r="E27" s="802"/>
      <c r="F27" s="801" t="s">
        <v>15138</v>
      </c>
      <c r="G27" s="292"/>
      <c r="I27" s="292"/>
    </row>
    <row r="28" spans="1:9">
      <c r="A28" s="801" t="s">
        <v>840</v>
      </c>
      <c r="B28" s="801" t="s">
        <v>15177</v>
      </c>
      <c r="C28" s="292" t="s">
        <v>15178</v>
      </c>
      <c r="D28" s="295">
        <v>2840</v>
      </c>
      <c r="E28" s="802"/>
      <c r="F28" s="801" t="s">
        <v>15140</v>
      </c>
      <c r="G28" s="292"/>
      <c r="I28" s="292"/>
    </row>
    <row r="29" spans="1:9">
      <c r="A29" s="801" t="s">
        <v>841</v>
      </c>
      <c r="B29" s="801" t="s">
        <v>15179</v>
      </c>
      <c r="C29" s="292" t="s">
        <v>15180</v>
      </c>
      <c r="D29" s="295">
        <v>2669</v>
      </c>
      <c r="E29" s="802"/>
      <c r="F29" s="801" t="s">
        <v>15140</v>
      </c>
      <c r="G29" s="292"/>
      <c r="I29" s="292"/>
    </row>
    <row r="30" spans="1:9">
      <c r="A30" s="801" t="s">
        <v>878</v>
      </c>
      <c r="B30" s="801" t="s">
        <v>15181</v>
      </c>
      <c r="C30" s="292" t="s">
        <v>15182</v>
      </c>
      <c r="D30" s="295">
        <v>2384</v>
      </c>
      <c r="E30" s="802"/>
      <c r="F30" s="801" t="s">
        <v>15140</v>
      </c>
      <c r="G30" s="292"/>
      <c r="I30" s="292"/>
    </row>
    <row r="31" spans="1:9">
      <c r="A31" s="801" t="s">
        <v>879</v>
      </c>
      <c r="B31" s="801" t="s">
        <v>15183</v>
      </c>
      <c r="C31" s="292" t="s">
        <v>15184</v>
      </c>
      <c r="D31" s="295">
        <v>2580</v>
      </c>
      <c r="E31" s="802"/>
      <c r="F31" s="801" t="s">
        <v>15140</v>
      </c>
      <c r="G31" s="292"/>
      <c r="I31" s="292"/>
    </row>
    <row r="32" spans="1:9">
      <c r="A32" s="801" t="s">
        <v>880</v>
      </c>
      <c r="B32" s="801" t="s">
        <v>15185</v>
      </c>
      <c r="C32" s="292" t="s">
        <v>15186</v>
      </c>
      <c r="D32" s="295">
        <v>2460</v>
      </c>
      <c r="E32" s="802"/>
      <c r="F32" s="801" t="s">
        <v>15140</v>
      </c>
      <c r="G32" s="292"/>
      <c r="I32" s="292"/>
    </row>
    <row r="33" spans="1:9">
      <c r="A33" s="801" t="s">
        <v>721</v>
      </c>
      <c r="B33" s="801" t="s">
        <v>15187</v>
      </c>
      <c r="C33" s="292" t="s">
        <v>15188</v>
      </c>
      <c r="D33" s="295">
        <v>2292</v>
      </c>
      <c r="E33" s="802"/>
      <c r="F33" s="801" t="s">
        <v>15140</v>
      </c>
      <c r="G33" s="292"/>
      <c r="I33" s="292"/>
    </row>
    <row r="34" spans="1:9">
      <c r="A34" s="801" t="s">
        <v>722</v>
      </c>
      <c r="B34" s="801" t="s">
        <v>15189</v>
      </c>
      <c r="C34" s="292" t="s">
        <v>15190</v>
      </c>
      <c r="D34" s="295">
        <v>2763</v>
      </c>
      <c r="E34" s="802"/>
      <c r="F34" s="801" t="s">
        <v>15138</v>
      </c>
      <c r="G34" s="292"/>
      <c r="I34" s="292"/>
    </row>
    <row r="35" spans="1:9">
      <c r="A35" s="801" t="s">
        <v>723</v>
      </c>
      <c r="B35" s="801" t="s">
        <v>15191</v>
      </c>
      <c r="C35" s="292" t="s">
        <v>15192</v>
      </c>
      <c r="D35" s="295">
        <v>2546</v>
      </c>
      <c r="E35" s="802"/>
      <c r="F35" s="801" t="s">
        <v>15138</v>
      </c>
      <c r="G35" s="292"/>
      <c r="I35" s="292"/>
    </row>
    <row r="36" spans="1:9">
      <c r="A36" s="801" t="s">
        <v>733</v>
      </c>
      <c r="B36" s="801" t="s">
        <v>15193</v>
      </c>
      <c r="C36" s="292" t="s">
        <v>15194</v>
      </c>
      <c r="D36" s="295">
        <v>2573</v>
      </c>
      <c r="E36" s="802"/>
      <c r="F36" s="801" t="s">
        <v>15138</v>
      </c>
      <c r="G36" s="292"/>
      <c r="I36" s="292"/>
    </row>
    <row r="37" spans="1:9">
      <c r="A37" s="801" t="s">
        <v>734</v>
      </c>
      <c r="B37" s="801" t="s">
        <v>15195</v>
      </c>
      <c r="C37" s="292" t="s">
        <v>15196</v>
      </c>
      <c r="D37" s="295">
        <v>2841</v>
      </c>
      <c r="E37" s="802"/>
      <c r="F37" s="801" t="s">
        <v>15138</v>
      </c>
      <c r="G37" s="292"/>
      <c r="I37" s="292"/>
    </row>
    <row r="38" spans="1:9">
      <c r="A38" s="801" t="s">
        <v>735</v>
      </c>
      <c r="B38" s="801" t="s">
        <v>15197</v>
      </c>
      <c r="C38" s="292" t="s">
        <v>15198</v>
      </c>
      <c r="D38" s="295">
        <v>2614</v>
      </c>
      <c r="E38" s="802"/>
      <c r="F38" s="801" t="s">
        <v>15138</v>
      </c>
      <c r="G38" s="292"/>
      <c r="I38" s="292"/>
    </row>
    <row r="39" spans="1:9">
      <c r="A39" s="801" t="s">
        <v>736</v>
      </c>
      <c r="B39" s="801" t="s">
        <v>15199</v>
      </c>
      <c r="C39" s="292" t="s">
        <v>15200</v>
      </c>
      <c r="D39" s="295">
        <v>2294</v>
      </c>
      <c r="E39" s="802"/>
      <c r="F39" s="801" t="s">
        <v>15138</v>
      </c>
      <c r="G39" s="292"/>
      <c r="I39" s="292"/>
    </row>
    <row r="40" spans="1:9">
      <c r="A40" s="801" t="s">
        <v>931</v>
      </c>
      <c r="B40" s="801" t="s">
        <v>15201</v>
      </c>
      <c r="C40" s="292" t="s">
        <v>15202</v>
      </c>
      <c r="D40" s="295">
        <v>2807</v>
      </c>
      <c r="E40" s="802"/>
      <c r="F40" s="801" t="s">
        <v>15138</v>
      </c>
      <c r="G40" s="292"/>
      <c r="I40" s="292"/>
    </row>
    <row r="41" spans="1:9">
      <c r="A41" s="801" t="s">
        <v>932</v>
      </c>
      <c r="B41" s="801" t="s">
        <v>15203</v>
      </c>
      <c r="C41" s="292" t="s">
        <v>15204</v>
      </c>
      <c r="D41" s="295">
        <v>2660</v>
      </c>
      <c r="E41" s="802"/>
      <c r="F41" s="801" t="s">
        <v>15138</v>
      </c>
      <c r="G41" s="292"/>
      <c r="I41" s="292"/>
    </row>
    <row r="42" spans="1:9">
      <c r="A42" s="801" t="s">
        <v>933</v>
      </c>
      <c r="B42" s="801" t="s">
        <v>15205</v>
      </c>
      <c r="C42" s="292" t="s">
        <v>15206</v>
      </c>
      <c r="D42" s="295">
        <v>2721</v>
      </c>
      <c r="E42" s="802"/>
      <c r="F42" s="801" t="s">
        <v>15138</v>
      </c>
      <c r="G42" s="292"/>
      <c r="I42" s="292"/>
    </row>
    <row r="43" spans="1:9">
      <c r="A43" s="801" t="s">
        <v>934</v>
      </c>
      <c r="B43" s="801" t="s">
        <v>15207</v>
      </c>
      <c r="C43" s="292" t="s">
        <v>15208</v>
      </c>
      <c r="D43" s="295">
        <v>2287</v>
      </c>
      <c r="E43" s="802"/>
      <c r="F43" s="801" t="s">
        <v>15140</v>
      </c>
      <c r="G43" s="292"/>
      <c r="I43" s="292"/>
    </row>
    <row r="44" spans="1:9">
      <c r="A44" s="801" t="s">
        <v>376</v>
      </c>
      <c r="B44" s="801" t="s">
        <v>15209</v>
      </c>
      <c r="C44" s="292" t="s">
        <v>15210</v>
      </c>
      <c r="D44" s="295">
        <v>2265</v>
      </c>
      <c r="E44" s="802"/>
      <c r="F44" s="801" t="s">
        <v>15138</v>
      </c>
      <c r="G44" s="292"/>
      <c r="I44" s="292"/>
    </row>
    <row r="45" spans="1:9">
      <c r="A45" s="801" t="s">
        <v>377</v>
      </c>
      <c r="B45" s="801" t="s">
        <v>15211</v>
      </c>
      <c r="C45" s="292" t="s">
        <v>15212</v>
      </c>
      <c r="D45" s="295">
        <v>2325</v>
      </c>
      <c r="E45" s="802"/>
      <c r="F45" s="801" t="s">
        <v>15138</v>
      </c>
      <c r="G45" s="292"/>
      <c r="I45" s="292"/>
    </row>
    <row r="46" spans="1:9">
      <c r="A46" s="801" t="s">
        <v>338</v>
      </c>
      <c r="B46" s="801" t="s">
        <v>15213</v>
      </c>
      <c r="C46" s="292" t="s">
        <v>15214</v>
      </c>
      <c r="D46" s="295">
        <v>2694</v>
      </c>
      <c r="E46" s="802"/>
      <c r="F46" s="801" t="s">
        <v>15140</v>
      </c>
      <c r="G46" s="292"/>
      <c r="I46" s="292"/>
    </row>
    <row r="47" spans="1:9">
      <c r="A47" s="801" t="s">
        <v>339</v>
      </c>
      <c r="B47" s="801" t="s">
        <v>15215</v>
      </c>
      <c r="C47" s="292" t="s">
        <v>15216</v>
      </c>
      <c r="D47" s="295">
        <v>3072</v>
      </c>
      <c r="E47" s="802"/>
      <c r="F47" s="801" t="s">
        <v>15140</v>
      </c>
      <c r="G47" s="292"/>
      <c r="I47" s="292"/>
    </row>
    <row r="48" spans="1:9">
      <c r="A48" s="801" t="s">
        <v>340</v>
      </c>
      <c r="B48" s="801" t="s">
        <v>15217</v>
      </c>
      <c r="C48" s="292" t="s">
        <v>15218</v>
      </c>
      <c r="D48" s="295">
        <v>2705</v>
      </c>
      <c r="E48" s="802"/>
      <c r="F48" s="801" t="s">
        <v>15140</v>
      </c>
      <c r="G48" s="292"/>
      <c r="I48" s="292"/>
    </row>
    <row r="49" spans="1:6">
      <c r="A49" s="802"/>
      <c r="B49" s="802"/>
      <c r="C49" s="802"/>
      <c r="D49" s="804"/>
      <c r="E49" s="802"/>
      <c r="F49" s="801"/>
    </row>
    <row r="50" spans="1:6">
      <c r="A50" s="801" t="s">
        <v>15219</v>
      </c>
      <c r="B50" s="802"/>
      <c r="C50" s="802"/>
      <c r="D50" s="804"/>
      <c r="E50" s="802"/>
      <c r="F50" s="801"/>
    </row>
  </sheetData>
  <printOptions gridLinesSet="0"/>
  <pageMargins left="0.78740157480314965" right="0" top="0.51181102362204722" bottom="0.51181102362204722" header="0.51181102362204722" footer="0.51181102362204722"/>
  <pageSetup paperSize="9" scale="70" orientation="portrait" horizontalDpi="300" verticalDpi="300" r:id="rId1"/>
  <headerFooter alignWithMargins="0">
    <oddFooter>&amp;C&amp;"Times New Roman,Regular"&amp;8&amp;P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34"/>
  <sheetViews>
    <sheetView showGridLines="0" zoomScaleNormal="100" workbookViewId="0"/>
  </sheetViews>
  <sheetFormatPr defaultColWidth="12.59765625" defaultRowHeight="14.5"/>
  <cols>
    <col min="1" max="1" width="4.8984375" style="549" customWidth="1"/>
    <col min="2" max="2" width="36.09765625" style="549" customWidth="1"/>
    <col min="3" max="3" width="11.59765625" style="549" customWidth="1"/>
    <col min="4" max="4" width="10" style="549" customWidth="1"/>
    <col min="5" max="5" width="2.296875" style="549" customWidth="1"/>
    <col min="6" max="6" width="29.296875" style="549" customWidth="1"/>
    <col min="7" max="16384" width="12.59765625" style="549"/>
  </cols>
  <sheetData>
    <row r="1" spans="1:6">
      <c r="A1" s="548" t="s">
        <v>9176</v>
      </c>
      <c r="D1" s="550">
        <v>2016</v>
      </c>
    </row>
    <row r="3" spans="1:6">
      <c r="A3" s="548" t="s">
        <v>9971</v>
      </c>
      <c r="D3" s="551">
        <f t="shared" ref="D3" si="0">SUM(D17:D32)</f>
        <v>134137</v>
      </c>
    </row>
    <row r="5" spans="1:6">
      <c r="A5" s="500" t="s">
        <v>9687</v>
      </c>
      <c r="D5" s="552">
        <f>HACKNEY!D5</f>
        <v>32947</v>
      </c>
      <c r="F5" s="549" t="s">
        <v>9688</v>
      </c>
    </row>
    <row r="6" spans="1:6" ht="15" thickBot="1">
      <c r="D6" s="553">
        <f>SUM(D22:D25)+D32</f>
        <v>44768</v>
      </c>
      <c r="F6" s="548" t="s">
        <v>9412</v>
      </c>
    </row>
    <row r="7" spans="1:6" ht="15" thickBot="1">
      <c r="D7" s="554">
        <f>D5+D6</f>
        <v>77715</v>
      </c>
    </row>
    <row r="9" spans="1:6">
      <c r="A9" s="418" t="s">
        <v>9411</v>
      </c>
      <c r="D9" s="552">
        <f>CAMDEN!D14</f>
        <v>60786</v>
      </c>
      <c r="F9" s="549" t="s">
        <v>9221</v>
      </c>
    </row>
    <row r="10" spans="1:6" ht="15" thickBot="1">
      <c r="A10" s="548"/>
      <c r="D10" s="551">
        <f>D27+D29</f>
        <v>15899</v>
      </c>
      <c r="F10" s="548" t="s">
        <v>9412</v>
      </c>
    </row>
    <row r="11" spans="1:6" ht="15" thickBot="1">
      <c r="D11" s="554">
        <f>D9+D10</f>
        <v>76685</v>
      </c>
    </row>
    <row r="12" spans="1:6">
      <c r="D12" s="555"/>
    </row>
    <row r="13" spans="1:6">
      <c r="A13" s="548" t="s">
        <v>9972</v>
      </c>
      <c r="D13" s="551">
        <f>SUM(D17:D21)+D26+D28+D30+D31</f>
        <v>73470</v>
      </c>
      <c r="F13" s="548" t="s">
        <v>9412</v>
      </c>
    </row>
    <row r="14" spans="1:6">
      <c r="D14" s="552"/>
    </row>
    <row r="15" spans="1:6">
      <c r="A15" s="548" t="s">
        <v>1041</v>
      </c>
      <c r="D15" s="551">
        <f>D6+D10+D13</f>
        <v>134137</v>
      </c>
    </row>
    <row r="16" spans="1:6">
      <c r="D16" s="552"/>
    </row>
    <row r="17" spans="1:11">
      <c r="A17" s="548" t="s">
        <v>812</v>
      </c>
      <c r="B17" s="548" t="s">
        <v>9973</v>
      </c>
      <c r="C17" s="292" t="s">
        <v>9974</v>
      </c>
      <c r="D17" s="293">
        <v>7705</v>
      </c>
      <c r="F17" s="548" t="s">
        <v>9972</v>
      </c>
      <c r="I17" s="292"/>
      <c r="K17" s="292"/>
    </row>
    <row r="18" spans="1:11">
      <c r="A18" s="548" t="s">
        <v>813</v>
      </c>
      <c r="B18" s="548" t="s">
        <v>9975</v>
      </c>
      <c r="C18" s="292" t="s">
        <v>9976</v>
      </c>
      <c r="D18" s="293">
        <v>8444</v>
      </c>
      <c r="F18" s="548" t="s">
        <v>9972</v>
      </c>
      <c r="I18" s="292"/>
      <c r="K18" s="292"/>
    </row>
    <row r="19" spans="1:11">
      <c r="A19" s="548" t="s">
        <v>814</v>
      </c>
      <c r="B19" s="548" t="s">
        <v>9977</v>
      </c>
      <c r="C19" s="292" t="s">
        <v>9978</v>
      </c>
      <c r="D19" s="293">
        <v>8301</v>
      </c>
      <c r="F19" s="548" t="s">
        <v>9972</v>
      </c>
      <c r="I19" s="292"/>
      <c r="K19" s="292"/>
    </row>
    <row r="20" spans="1:11">
      <c r="A20" s="548" t="s">
        <v>815</v>
      </c>
      <c r="B20" s="548" t="s">
        <v>9979</v>
      </c>
      <c r="C20" s="292" t="s">
        <v>9980</v>
      </c>
      <c r="D20" s="293">
        <v>8039</v>
      </c>
      <c r="F20" s="548" t="s">
        <v>9972</v>
      </c>
      <c r="I20" s="292"/>
      <c r="K20" s="292"/>
    </row>
    <row r="21" spans="1:11">
      <c r="A21" s="548" t="s">
        <v>816</v>
      </c>
      <c r="B21" s="548" t="s">
        <v>9981</v>
      </c>
      <c r="C21" s="292" t="s">
        <v>9982</v>
      </c>
      <c r="D21" s="293">
        <v>7084</v>
      </c>
      <c r="F21" s="548" t="s">
        <v>9972</v>
      </c>
      <c r="I21" s="292"/>
      <c r="K21" s="292"/>
    </row>
    <row r="22" spans="1:11">
      <c r="A22" s="548" t="s">
        <v>826</v>
      </c>
      <c r="B22" s="548" t="s">
        <v>9983</v>
      </c>
      <c r="C22" s="292" t="s">
        <v>9984</v>
      </c>
      <c r="D22" s="293">
        <v>9184</v>
      </c>
      <c r="F22" s="500" t="s">
        <v>9687</v>
      </c>
      <c r="I22" s="292"/>
      <c r="K22" s="292"/>
    </row>
    <row r="23" spans="1:11">
      <c r="A23" s="548" t="s">
        <v>827</v>
      </c>
      <c r="B23" s="548" t="s">
        <v>9985</v>
      </c>
      <c r="C23" s="292" t="s">
        <v>9986</v>
      </c>
      <c r="D23" s="293">
        <v>8102</v>
      </c>
      <c r="F23" s="500" t="s">
        <v>9687</v>
      </c>
      <c r="I23" s="292"/>
      <c r="K23" s="292"/>
    </row>
    <row r="24" spans="1:11">
      <c r="A24" s="548" t="s">
        <v>828</v>
      </c>
      <c r="B24" s="548" t="s">
        <v>9987</v>
      </c>
      <c r="C24" s="292" t="s">
        <v>9988</v>
      </c>
      <c r="D24" s="293">
        <v>10748</v>
      </c>
      <c r="F24" s="500" t="s">
        <v>9687</v>
      </c>
      <c r="I24" s="292"/>
      <c r="K24" s="292"/>
    </row>
    <row r="25" spans="1:11">
      <c r="A25" s="548" t="s">
        <v>829</v>
      </c>
      <c r="B25" s="548" t="s">
        <v>9989</v>
      </c>
      <c r="C25" s="292" t="s">
        <v>9990</v>
      </c>
      <c r="D25" s="293">
        <v>7912</v>
      </c>
      <c r="F25" s="500" t="s">
        <v>9687</v>
      </c>
      <c r="I25" s="292"/>
      <c r="K25" s="292"/>
    </row>
    <row r="26" spans="1:11">
      <c r="A26" s="548" t="s">
        <v>830</v>
      </c>
      <c r="B26" s="548" t="s">
        <v>9991</v>
      </c>
      <c r="C26" s="292" t="s">
        <v>9992</v>
      </c>
      <c r="D26" s="293">
        <v>9633</v>
      </c>
      <c r="F26" s="548" t="s">
        <v>9972</v>
      </c>
      <c r="I26" s="292"/>
      <c r="K26" s="292"/>
    </row>
    <row r="27" spans="1:11">
      <c r="A27" s="548" t="s">
        <v>831</v>
      </c>
      <c r="B27" s="548" t="s">
        <v>9993</v>
      </c>
      <c r="C27" s="292" t="s">
        <v>9994</v>
      </c>
      <c r="D27" s="293">
        <v>7888</v>
      </c>
      <c r="F27" s="418" t="s">
        <v>9411</v>
      </c>
      <c r="I27" s="292"/>
      <c r="K27" s="292"/>
    </row>
    <row r="28" spans="1:11">
      <c r="A28" s="548" t="s">
        <v>832</v>
      </c>
      <c r="B28" s="548" t="s">
        <v>9995</v>
      </c>
      <c r="C28" s="292" t="s">
        <v>9996</v>
      </c>
      <c r="D28" s="293">
        <v>8541</v>
      </c>
      <c r="F28" s="548" t="s">
        <v>9972</v>
      </c>
      <c r="I28" s="292"/>
      <c r="K28" s="292"/>
    </row>
    <row r="29" spans="1:11">
      <c r="A29" s="548" t="s">
        <v>833</v>
      </c>
      <c r="B29" s="548" t="s">
        <v>7576</v>
      </c>
      <c r="C29" s="292" t="s">
        <v>9997</v>
      </c>
      <c r="D29" s="293">
        <v>8011</v>
      </c>
      <c r="F29" s="418" t="s">
        <v>9411</v>
      </c>
      <c r="I29" s="292"/>
      <c r="K29" s="292"/>
    </row>
    <row r="30" spans="1:11">
      <c r="A30" s="548" t="s">
        <v>834</v>
      </c>
      <c r="B30" s="548" t="s">
        <v>5043</v>
      </c>
      <c r="C30" s="292" t="s">
        <v>9998</v>
      </c>
      <c r="D30" s="293">
        <v>7800</v>
      </c>
      <c r="F30" s="548" t="s">
        <v>9972</v>
      </c>
      <c r="I30" s="292"/>
      <c r="K30" s="292"/>
    </row>
    <row r="31" spans="1:11">
      <c r="A31" s="548" t="s">
        <v>835</v>
      </c>
      <c r="B31" s="548" t="s">
        <v>1026</v>
      </c>
      <c r="C31" s="292" t="s">
        <v>9999</v>
      </c>
      <c r="D31" s="295">
        <v>7923</v>
      </c>
      <c r="F31" s="548" t="s">
        <v>9972</v>
      </c>
      <c r="I31" s="292"/>
      <c r="K31" s="292"/>
    </row>
    <row r="32" spans="1:11">
      <c r="A32" s="548" t="s">
        <v>836</v>
      </c>
      <c r="B32" s="548" t="s">
        <v>10000</v>
      </c>
      <c r="C32" s="292" t="s">
        <v>10001</v>
      </c>
      <c r="D32" s="293">
        <v>8822</v>
      </c>
      <c r="F32" s="500" t="s">
        <v>9687</v>
      </c>
      <c r="I32" s="292"/>
      <c r="K32" s="292"/>
    </row>
    <row r="34" spans="1:1">
      <c r="A34" s="549" t="s">
        <v>10002</v>
      </c>
    </row>
  </sheetData>
  <printOptions gridLinesSet="0"/>
  <pageMargins left="0.78740157480314965" right="0" top="0.51181102362204722" bottom="0.51181102362204722" header="0.51181102362204722" footer="0.51181102362204722"/>
  <pageSetup paperSize="9" scale="78" orientation="portrait" horizontalDpi="300" verticalDpi="300" r:id="rId1"/>
  <headerFooter alignWithMargins="0">
    <oddFooter>&amp;C&amp;"Times New Roman,Regular"&amp;8&amp;P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8"/>
  <sheetViews>
    <sheetView showGridLines="0" zoomScaleNormal="100" workbookViewId="0"/>
  </sheetViews>
  <sheetFormatPr defaultColWidth="12.59765625" defaultRowHeight="14.5"/>
  <cols>
    <col min="1" max="1" width="5" style="438" customWidth="1"/>
    <col min="2" max="2" width="40.69921875" style="438" customWidth="1"/>
    <col min="3" max="3" width="11.3984375" style="438" customWidth="1"/>
    <col min="4" max="4" width="10" style="438" customWidth="1"/>
    <col min="5" max="5" width="2.296875" style="438" customWidth="1"/>
    <col min="6" max="6" width="34.296875" style="438" customWidth="1"/>
    <col min="7" max="16384" width="12.59765625" style="438"/>
  </cols>
  <sheetData>
    <row r="1" spans="1:10">
      <c r="A1" s="435" t="s">
        <v>9176</v>
      </c>
      <c r="D1" s="456">
        <v>2016</v>
      </c>
    </row>
    <row r="3" spans="1:10">
      <c r="A3" s="435" t="s">
        <v>10003</v>
      </c>
      <c r="D3" s="457">
        <f>SUM(D9:D10)+SUM(D11:D23)+SUM(D24:D26)</f>
        <v>76454</v>
      </c>
    </row>
    <row r="5" spans="1:10">
      <c r="A5" s="435" t="s">
        <v>10004</v>
      </c>
      <c r="D5" s="457">
        <f>SUM(D9:D26)</f>
        <v>76454</v>
      </c>
      <c r="F5" s="435" t="s">
        <v>9161</v>
      </c>
    </row>
    <row r="6" spans="1:10">
      <c r="D6" s="458"/>
    </row>
    <row r="7" spans="1:10">
      <c r="A7" s="435" t="s">
        <v>1041</v>
      </c>
      <c r="D7" s="457">
        <f>D5</f>
        <v>76454</v>
      </c>
    </row>
    <row r="8" spans="1:10">
      <c r="D8" s="458"/>
    </row>
    <row r="9" spans="1:10">
      <c r="A9" s="435" t="s">
        <v>812</v>
      </c>
      <c r="B9" s="435" t="s">
        <v>10005</v>
      </c>
      <c r="C9" s="306" t="s">
        <v>10006</v>
      </c>
      <c r="D9" s="293">
        <v>4115</v>
      </c>
      <c r="F9" s="435" t="s">
        <v>10004</v>
      </c>
      <c r="H9" s="510"/>
      <c r="J9" s="292"/>
    </row>
    <row r="10" spans="1:10">
      <c r="A10" s="435" t="s">
        <v>813</v>
      </c>
      <c r="B10" s="435" t="s">
        <v>10007</v>
      </c>
      <c r="C10" s="306" t="s">
        <v>10008</v>
      </c>
      <c r="D10" s="293">
        <v>4284</v>
      </c>
      <c r="F10" s="435" t="s">
        <v>10004</v>
      </c>
      <c r="H10" s="510"/>
      <c r="J10" s="292"/>
    </row>
    <row r="11" spans="1:10">
      <c r="A11" s="435" t="s">
        <v>814</v>
      </c>
      <c r="B11" s="435" t="s">
        <v>10009</v>
      </c>
      <c r="C11" s="306" t="s">
        <v>10010</v>
      </c>
      <c r="D11" s="293">
        <v>4218</v>
      </c>
      <c r="F11" s="435" t="s">
        <v>10004</v>
      </c>
      <c r="H11" s="510"/>
      <c r="J11" s="292"/>
    </row>
    <row r="12" spans="1:10">
      <c r="A12" s="435" t="s">
        <v>815</v>
      </c>
      <c r="B12" s="435" t="s">
        <v>10011</v>
      </c>
      <c r="C12" s="306" t="s">
        <v>10012</v>
      </c>
      <c r="D12" s="293">
        <v>5036</v>
      </c>
      <c r="F12" s="435" t="s">
        <v>10004</v>
      </c>
      <c r="H12" s="510"/>
      <c r="J12" s="292"/>
    </row>
    <row r="13" spans="1:10">
      <c r="A13" s="435" t="s">
        <v>816</v>
      </c>
      <c r="B13" s="435" t="s">
        <v>10013</v>
      </c>
      <c r="C13" s="306" t="s">
        <v>10014</v>
      </c>
      <c r="D13" s="293">
        <v>5093</v>
      </c>
      <c r="F13" s="435" t="s">
        <v>10004</v>
      </c>
      <c r="H13" s="510"/>
      <c r="J13" s="292"/>
    </row>
    <row r="14" spans="1:10">
      <c r="A14" s="435" t="s">
        <v>826</v>
      </c>
      <c r="B14" s="435" t="s">
        <v>10015</v>
      </c>
      <c r="C14" s="306" t="s">
        <v>10016</v>
      </c>
      <c r="D14" s="293">
        <v>3758</v>
      </c>
      <c r="F14" s="435" t="s">
        <v>10004</v>
      </c>
      <c r="H14" s="510"/>
      <c r="J14" s="292"/>
    </row>
    <row r="15" spans="1:10">
      <c r="A15" s="435" t="s">
        <v>827</v>
      </c>
      <c r="B15" s="435" t="s">
        <v>10017</v>
      </c>
      <c r="C15" s="306" t="s">
        <v>10018</v>
      </c>
      <c r="D15" s="293">
        <v>3898</v>
      </c>
      <c r="F15" s="435" t="s">
        <v>10004</v>
      </c>
      <c r="H15" s="510"/>
      <c r="J15" s="292"/>
    </row>
    <row r="16" spans="1:10">
      <c r="A16" s="435" t="s">
        <v>828</v>
      </c>
      <c r="B16" s="435" t="s">
        <v>10019</v>
      </c>
      <c r="C16" s="306" t="s">
        <v>10020</v>
      </c>
      <c r="D16" s="293">
        <v>4288</v>
      </c>
      <c r="F16" s="435" t="s">
        <v>10004</v>
      </c>
      <c r="H16" s="510"/>
      <c r="J16" s="292"/>
    </row>
    <row r="17" spans="1:10">
      <c r="A17" s="435" t="s">
        <v>829</v>
      </c>
      <c r="B17" s="435" t="s">
        <v>10021</v>
      </c>
      <c r="C17" s="306" t="s">
        <v>10022</v>
      </c>
      <c r="D17" s="293">
        <v>4709</v>
      </c>
      <c r="F17" s="435" t="s">
        <v>10004</v>
      </c>
      <c r="H17" s="510"/>
      <c r="J17" s="292"/>
    </row>
    <row r="18" spans="1:10">
      <c r="A18" s="435" t="s">
        <v>830</v>
      </c>
      <c r="B18" s="435" t="s">
        <v>10023</v>
      </c>
      <c r="C18" s="306" t="s">
        <v>10024</v>
      </c>
      <c r="D18" s="293">
        <v>4107</v>
      </c>
      <c r="F18" s="435" t="s">
        <v>10004</v>
      </c>
      <c r="H18" s="510"/>
      <c r="J18" s="292"/>
    </row>
    <row r="19" spans="1:10">
      <c r="A19" s="435" t="s">
        <v>831</v>
      </c>
      <c r="B19" s="435" t="s">
        <v>10025</v>
      </c>
      <c r="C19" s="306" t="s">
        <v>10026</v>
      </c>
      <c r="D19" s="293">
        <v>3391</v>
      </c>
      <c r="F19" s="435" t="s">
        <v>10004</v>
      </c>
      <c r="H19" s="510"/>
      <c r="J19" s="292"/>
    </row>
    <row r="20" spans="1:10">
      <c r="A20" s="435" t="s">
        <v>832</v>
      </c>
      <c r="B20" s="435" t="s">
        <v>10027</v>
      </c>
      <c r="C20" s="306" t="s">
        <v>10028</v>
      </c>
      <c r="D20" s="295">
        <v>5185</v>
      </c>
      <c r="F20" s="435" t="s">
        <v>10004</v>
      </c>
      <c r="H20" s="510"/>
      <c r="J20" s="292"/>
    </row>
    <row r="21" spans="1:10">
      <c r="A21" s="435" t="s">
        <v>833</v>
      </c>
      <c r="B21" s="435" t="s">
        <v>10029</v>
      </c>
      <c r="C21" s="306" t="s">
        <v>10030</v>
      </c>
      <c r="D21" s="295">
        <v>2872</v>
      </c>
      <c r="F21" s="435" t="s">
        <v>10004</v>
      </c>
      <c r="H21" s="510"/>
      <c r="J21" s="292"/>
    </row>
    <row r="22" spans="1:10">
      <c r="A22" s="435" t="s">
        <v>834</v>
      </c>
      <c r="B22" s="435" t="s">
        <v>10031</v>
      </c>
      <c r="C22" s="306" t="s">
        <v>10032</v>
      </c>
      <c r="D22" s="295">
        <v>3537</v>
      </c>
      <c r="F22" s="435" t="s">
        <v>10004</v>
      </c>
      <c r="H22" s="510"/>
      <c r="J22" s="292"/>
    </row>
    <row r="23" spans="1:10">
      <c r="A23" s="435" t="s">
        <v>835</v>
      </c>
      <c r="B23" s="435" t="s">
        <v>10033</v>
      </c>
      <c r="C23" s="306" t="s">
        <v>10034</v>
      </c>
      <c r="D23" s="293">
        <v>4158</v>
      </c>
      <c r="F23" s="435" t="s">
        <v>10004</v>
      </c>
      <c r="H23" s="510"/>
      <c r="J23" s="292"/>
    </row>
    <row r="24" spans="1:10">
      <c r="A24" s="435" t="s">
        <v>836</v>
      </c>
      <c r="B24" s="435" t="s">
        <v>10035</v>
      </c>
      <c r="C24" s="306" t="s">
        <v>10036</v>
      </c>
      <c r="D24" s="293">
        <v>5151</v>
      </c>
      <c r="F24" s="435" t="s">
        <v>10004</v>
      </c>
    </row>
    <row r="25" spans="1:10">
      <c r="A25" s="435" t="s">
        <v>837</v>
      </c>
      <c r="B25" s="435" t="s">
        <v>4278</v>
      </c>
      <c r="C25" s="306" t="s">
        <v>10037</v>
      </c>
      <c r="D25" s="295">
        <v>3610</v>
      </c>
      <c r="F25" s="435" t="s">
        <v>10004</v>
      </c>
    </row>
    <row r="26" spans="1:10">
      <c r="A26" s="435" t="s">
        <v>838</v>
      </c>
      <c r="B26" s="435" t="s">
        <v>6356</v>
      </c>
      <c r="C26" s="306" t="s">
        <v>10038</v>
      </c>
      <c r="D26" s="293">
        <v>5044</v>
      </c>
      <c r="F26" s="435" t="s">
        <v>10004</v>
      </c>
    </row>
    <row r="28" spans="1:10">
      <c r="A28" s="435" t="s">
        <v>10039</v>
      </c>
    </row>
  </sheetData>
  <printOptions gridLinesSet="0"/>
  <pageMargins left="0.78740157480314965" right="0" top="0.51181102362204722" bottom="0.51181102362204722" header="0.51181102362204722" footer="0.51181102362204722"/>
  <pageSetup paperSize="9" scale="69" orientation="portrait" horizontalDpi="300" verticalDpi="300" r:id="rId1"/>
  <headerFooter alignWithMargins="0">
    <oddFooter>&amp;C&amp;"Times New Roman,Regular"&amp;8&amp;P of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572"/>
  <sheetViews>
    <sheetView showGridLines="0" zoomScaleNormal="100" workbookViewId="0"/>
  </sheetViews>
  <sheetFormatPr defaultColWidth="12.59765625" defaultRowHeight="14.5"/>
  <cols>
    <col min="1" max="1" width="4.8984375" style="808" customWidth="1"/>
    <col min="2" max="2" width="46.296875" style="808" customWidth="1"/>
    <col min="3" max="4" width="11.59765625" style="808" customWidth="1"/>
    <col min="5" max="5" width="2.296875" style="808" customWidth="1"/>
    <col min="6" max="6" width="30.8984375" style="808" customWidth="1"/>
    <col min="7" max="16384" width="12.59765625" style="808"/>
  </cols>
  <sheetData>
    <row r="1" spans="1:11">
      <c r="A1" s="805" t="s">
        <v>1075</v>
      </c>
      <c r="B1" s="806"/>
      <c r="C1" s="806"/>
      <c r="D1" s="807">
        <v>2016</v>
      </c>
      <c r="E1" s="806"/>
      <c r="G1" s="806"/>
      <c r="H1" s="806"/>
      <c r="I1" s="806"/>
      <c r="J1" s="806"/>
      <c r="K1" s="806"/>
    </row>
    <row r="2" spans="1:11">
      <c r="A2" s="806"/>
      <c r="B2" s="806"/>
      <c r="C2" s="806"/>
      <c r="D2" s="806"/>
      <c r="E2" s="806"/>
      <c r="F2" s="806"/>
      <c r="G2" s="806"/>
      <c r="H2" s="806"/>
      <c r="I2" s="806"/>
      <c r="J2" s="806"/>
      <c r="K2" s="806"/>
    </row>
    <row r="3" spans="1:11">
      <c r="A3" s="805" t="s">
        <v>15220</v>
      </c>
      <c r="C3" s="805"/>
      <c r="D3" s="809">
        <f t="shared" ref="D3" si="0">SUM(D7:D18)</f>
        <v>1044763</v>
      </c>
      <c r="E3" s="806"/>
      <c r="G3" s="806"/>
      <c r="H3" s="806"/>
      <c r="I3" s="806"/>
      <c r="J3" s="806"/>
      <c r="K3" s="806"/>
    </row>
    <row r="4" spans="1:11" ht="15" thickBot="1">
      <c r="A4" s="805" t="s">
        <v>15221</v>
      </c>
      <c r="C4" s="805"/>
      <c r="D4" s="810">
        <f t="shared" ref="D4" si="1">D82</f>
        <v>182325</v>
      </c>
      <c r="E4" s="806"/>
      <c r="G4" s="806"/>
      <c r="H4" s="806"/>
      <c r="I4" s="806"/>
      <c r="J4" s="806"/>
      <c r="K4" s="806"/>
    </row>
    <row r="5" spans="1:11" s="2" customFormat="1" ht="15" thickBot="1">
      <c r="A5" s="796"/>
      <c r="C5" s="796"/>
      <c r="D5" s="811">
        <f t="shared" ref="D5" si="2">D3+D4</f>
        <v>1227088</v>
      </c>
      <c r="E5" s="796"/>
      <c r="G5" s="796"/>
      <c r="H5" s="796"/>
      <c r="I5" s="796"/>
      <c r="J5" s="796"/>
      <c r="K5" s="796"/>
    </row>
    <row r="6" spans="1:11" s="2" customFormat="1">
      <c r="A6" s="796"/>
      <c r="C6" s="796"/>
      <c r="D6" s="812"/>
      <c r="E6" s="796"/>
      <c r="F6" s="796"/>
      <c r="G6" s="796"/>
      <c r="H6" s="796"/>
      <c r="I6" s="796"/>
      <c r="J6" s="796"/>
      <c r="K6" s="796"/>
    </row>
    <row r="7" spans="1:11">
      <c r="A7" s="805" t="s">
        <v>15222</v>
      </c>
      <c r="C7" s="805"/>
      <c r="D7" s="809">
        <f t="shared" ref="D7" si="3">D115</f>
        <v>86610</v>
      </c>
      <c r="E7" s="806"/>
      <c r="F7" s="813"/>
      <c r="G7" s="806"/>
      <c r="H7" s="806"/>
      <c r="I7" s="806"/>
      <c r="J7" s="806"/>
      <c r="K7" s="806"/>
    </row>
    <row r="8" spans="1:11">
      <c r="A8" s="805" t="s">
        <v>15223</v>
      </c>
      <c r="C8" s="805"/>
      <c r="D8" s="809">
        <f t="shared" ref="D8" si="4">D160</f>
        <v>100437</v>
      </c>
      <c r="E8" s="806"/>
      <c r="F8" s="813"/>
      <c r="G8" s="806"/>
      <c r="H8" s="806"/>
      <c r="I8" s="806"/>
      <c r="J8" s="806"/>
      <c r="K8" s="806"/>
    </row>
    <row r="9" spans="1:11">
      <c r="A9" s="805" t="s">
        <v>15224</v>
      </c>
      <c r="C9" s="805"/>
      <c r="D9" s="809">
        <f t="shared" ref="D9" si="5">D191</f>
        <v>72180</v>
      </c>
      <c r="E9" s="806"/>
      <c r="F9" s="813"/>
      <c r="G9" s="806"/>
      <c r="H9" s="806"/>
      <c r="I9" s="806"/>
      <c r="J9" s="806"/>
      <c r="K9" s="806"/>
    </row>
    <row r="10" spans="1:11">
      <c r="A10" s="805" t="s">
        <v>15225</v>
      </c>
      <c r="C10" s="805"/>
      <c r="D10" s="809">
        <f t="shared" ref="D10" si="6">D217</f>
        <v>84023</v>
      </c>
      <c r="E10" s="806"/>
      <c r="F10" s="813"/>
      <c r="G10" s="806"/>
      <c r="H10" s="806"/>
      <c r="I10" s="806"/>
      <c r="J10" s="806"/>
      <c r="K10" s="806"/>
    </row>
    <row r="11" spans="1:11">
      <c r="A11" s="805" t="s">
        <v>15226</v>
      </c>
      <c r="C11" s="805"/>
      <c r="D11" s="809">
        <f t="shared" ref="D11" si="7">D248</f>
        <v>70477</v>
      </c>
      <c r="E11" s="806"/>
      <c r="F11" s="813"/>
      <c r="G11" s="806"/>
      <c r="H11" s="806"/>
      <c r="I11" s="806"/>
      <c r="J11" s="806"/>
      <c r="K11" s="806"/>
    </row>
    <row r="12" spans="1:11">
      <c r="A12" s="805" t="s">
        <v>15227</v>
      </c>
      <c r="C12" s="805"/>
      <c r="D12" s="809">
        <f t="shared" ref="D12" si="8">D276</f>
        <v>108432</v>
      </c>
      <c r="E12" s="806"/>
      <c r="F12" s="813"/>
      <c r="G12" s="806"/>
      <c r="H12" s="806"/>
      <c r="I12" s="806"/>
      <c r="J12" s="806"/>
      <c r="K12" s="806"/>
    </row>
    <row r="13" spans="1:11">
      <c r="A13" s="805" t="s">
        <v>15228</v>
      </c>
      <c r="C13" s="805"/>
      <c r="D13" s="809">
        <f t="shared" ref="D13" si="9">D313</f>
        <v>85867</v>
      </c>
      <c r="E13" s="806"/>
      <c r="F13" s="813"/>
      <c r="G13" s="806"/>
      <c r="H13" s="806"/>
      <c r="I13" s="806"/>
      <c r="J13" s="806"/>
      <c r="K13" s="806"/>
    </row>
    <row r="14" spans="1:11">
      <c r="A14" s="805" t="s">
        <v>15229</v>
      </c>
      <c r="C14" s="805"/>
      <c r="D14" s="809">
        <f t="shared" ref="D14" si="10">D351</f>
        <v>77333</v>
      </c>
      <c r="E14" s="806"/>
      <c r="F14" s="813"/>
      <c r="G14" s="806"/>
      <c r="H14" s="806"/>
      <c r="I14" s="806"/>
      <c r="J14" s="806"/>
      <c r="K14" s="806"/>
    </row>
    <row r="15" spans="1:11">
      <c r="A15" s="805" t="s">
        <v>15230</v>
      </c>
      <c r="C15" s="805"/>
      <c r="D15" s="809">
        <f t="shared" ref="D15" si="11">D373</f>
        <v>96025</v>
      </c>
      <c r="E15" s="806"/>
      <c r="F15" s="813"/>
      <c r="G15" s="806"/>
      <c r="H15" s="806"/>
      <c r="I15" s="806"/>
      <c r="J15" s="806"/>
      <c r="K15" s="806"/>
    </row>
    <row r="16" spans="1:11">
      <c r="A16" s="805" t="s">
        <v>15231</v>
      </c>
      <c r="C16" s="805"/>
      <c r="D16" s="809">
        <f t="shared" ref="D16" si="12">D407</f>
        <v>96967</v>
      </c>
      <c r="E16" s="806"/>
      <c r="F16" s="813"/>
      <c r="G16" s="806"/>
      <c r="H16" s="806"/>
      <c r="I16" s="806"/>
      <c r="J16" s="806"/>
      <c r="K16" s="806"/>
    </row>
    <row r="17" spans="1:11">
      <c r="A17" s="805" t="s">
        <v>15232</v>
      </c>
      <c r="C17" s="805"/>
      <c r="D17" s="809">
        <f t="shared" ref="D17" si="13">D440</f>
        <v>90032</v>
      </c>
      <c r="E17" s="806"/>
      <c r="F17" s="813"/>
      <c r="G17" s="806"/>
      <c r="H17" s="806"/>
      <c r="I17" s="806"/>
      <c r="J17" s="806"/>
      <c r="K17" s="806"/>
    </row>
    <row r="18" spans="1:11">
      <c r="A18" s="805" t="s">
        <v>15233</v>
      </c>
      <c r="C18" s="805"/>
      <c r="D18" s="809">
        <f t="shared" ref="D18" si="14">D475</f>
        <v>76380</v>
      </c>
      <c r="E18" s="806"/>
      <c r="F18" s="813"/>
      <c r="G18" s="806"/>
      <c r="H18" s="806"/>
      <c r="I18" s="806"/>
      <c r="J18" s="806"/>
      <c r="K18" s="806"/>
    </row>
    <row r="19" spans="1:11">
      <c r="A19" s="806"/>
      <c r="B19" s="806"/>
      <c r="C19" s="806"/>
      <c r="D19" s="806"/>
      <c r="E19" s="806"/>
      <c r="F19" s="806"/>
      <c r="G19" s="806"/>
      <c r="H19" s="806"/>
      <c r="I19" s="806"/>
      <c r="J19" s="806"/>
      <c r="K19" s="806"/>
    </row>
    <row r="20" spans="1:11">
      <c r="A20" s="805" t="s">
        <v>15234</v>
      </c>
      <c r="D20" s="809">
        <f t="shared" ref="D20" si="15">D152</f>
        <v>71303</v>
      </c>
      <c r="E20" s="806"/>
      <c r="F20" s="805" t="s">
        <v>14288</v>
      </c>
      <c r="G20" s="806"/>
      <c r="H20" s="806"/>
      <c r="I20" s="806"/>
      <c r="J20" s="806"/>
      <c r="K20" s="806"/>
    </row>
    <row r="21" spans="1:11">
      <c r="A21" s="806"/>
      <c r="D21" s="814"/>
      <c r="E21" s="806"/>
      <c r="F21" s="806"/>
      <c r="G21" s="806"/>
      <c r="H21" s="806"/>
      <c r="I21" s="806"/>
      <c r="J21" s="806"/>
      <c r="K21" s="806"/>
    </row>
    <row r="22" spans="1:11">
      <c r="A22" s="805" t="s">
        <v>15235</v>
      </c>
      <c r="D22" s="815">
        <f t="shared" ref="D22" si="16">D183</f>
        <v>44251</v>
      </c>
      <c r="E22" s="806"/>
      <c r="F22" s="805" t="s">
        <v>15236</v>
      </c>
      <c r="G22" s="806"/>
      <c r="H22" s="806"/>
      <c r="I22" s="806"/>
      <c r="J22" s="806"/>
      <c r="K22" s="806"/>
    </row>
    <row r="23" spans="1:11">
      <c r="A23" s="805"/>
      <c r="D23" s="815">
        <f>D240</f>
        <v>7373</v>
      </c>
      <c r="E23" s="806"/>
      <c r="F23" s="805" t="s">
        <v>15237</v>
      </c>
      <c r="G23" s="806"/>
      <c r="H23" s="806"/>
      <c r="I23" s="806"/>
      <c r="J23" s="806"/>
      <c r="K23" s="806"/>
    </row>
    <row r="24" spans="1:11" ht="15" thickBot="1">
      <c r="A24" s="805"/>
      <c r="D24" s="810">
        <f>D399</f>
        <v>20387</v>
      </c>
      <c r="E24" s="806"/>
      <c r="F24" s="805" t="s">
        <v>15238</v>
      </c>
      <c r="G24" s="806"/>
      <c r="H24" s="806"/>
      <c r="I24" s="806"/>
      <c r="J24" s="806"/>
      <c r="K24" s="806"/>
    </row>
    <row r="25" spans="1:11" ht="15" thickBot="1">
      <c r="A25" s="805"/>
      <c r="D25" s="810">
        <f>SUM(D22:D24)</f>
        <v>72011</v>
      </c>
      <c r="E25" s="806"/>
      <c r="F25" s="806"/>
      <c r="G25" s="806"/>
      <c r="H25" s="806"/>
      <c r="I25" s="806"/>
      <c r="J25" s="806"/>
      <c r="K25" s="806"/>
    </row>
    <row r="26" spans="1:11">
      <c r="A26" s="806"/>
      <c r="D26" s="814"/>
      <c r="E26" s="806"/>
      <c r="F26" s="806"/>
      <c r="G26" s="806"/>
      <c r="H26" s="806"/>
      <c r="I26" s="806"/>
      <c r="J26" s="806"/>
      <c r="K26" s="806"/>
    </row>
    <row r="27" spans="1:11">
      <c r="A27" s="805" t="s">
        <v>15239</v>
      </c>
      <c r="D27" s="809">
        <f t="shared" ref="D27" si="17">D106</f>
        <v>31725</v>
      </c>
      <c r="E27" s="806"/>
      <c r="F27" s="805" t="s">
        <v>15240</v>
      </c>
      <c r="G27" s="806"/>
      <c r="H27" s="806"/>
      <c r="I27" s="806"/>
      <c r="J27" s="806"/>
      <c r="K27" s="806"/>
    </row>
    <row r="28" spans="1:11" ht="15" thickBot="1">
      <c r="A28" s="806"/>
      <c r="D28" s="810">
        <f t="shared" ref="D28" si="18">D466</f>
        <v>43769</v>
      </c>
      <c r="E28" s="806"/>
      <c r="F28" s="805" t="s">
        <v>15241</v>
      </c>
      <c r="G28" s="806"/>
      <c r="H28" s="806"/>
      <c r="I28" s="806"/>
      <c r="J28" s="806"/>
      <c r="K28" s="806"/>
    </row>
    <row r="29" spans="1:11" ht="15" thickBot="1">
      <c r="A29" s="806"/>
      <c r="D29" s="810">
        <f t="shared" ref="D29" si="19">SUM(D27:D28)</f>
        <v>75494</v>
      </c>
      <c r="E29" s="806"/>
      <c r="F29" s="806"/>
      <c r="G29" s="806"/>
      <c r="H29" s="806"/>
      <c r="I29" s="806"/>
      <c r="J29" s="806"/>
      <c r="K29" s="806"/>
    </row>
    <row r="30" spans="1:11">
      <c r="A30" s="806"/>
      <c r="D30" s="814"/>
      <c r="E30" s="806"/>
      <c r="F30" s="806"/>
      <c r="G30" s="806"/>
      <c r="H30" s="806"/>
      <c r="I30" s="806"/>
      <c r="J30" s="806"/>
      <c r="K30" s="806"/>
    </row>
    <row r="31" spans="1:11">
      <c r="A31" s="805" t="s">
        <v>15242</v>
      </c>
      <c r="D31" s="809">
        <f t="shared" ref="D31" si="20">D210</f>
        <v>72180</v>
      </c>
      <c r="E31" s="806"/>
      <c r="F31" s="805" t="s">
        <v>13712</v>
      </c>
      <c r="G31" s="806"/>
      <c r="H31" s="806"/>
      <c r="I31" s="806"/>
      <c r="J31" s="806"/>
      <c r="K31" s="806"/>
    </row>
    <row r="32" spans="1:11" ht="15" customHeight="1">
      <c r="A32" s="806"/>
      <c r="D32" s="814"/>
      <c r="E32" s="806"/>
      <c r="F32" s="806"/>
      <c r="G32" s="806"/>
      <c r="H32" s="806"/>
      <c r="I32" s="806"/>
      <c r="J32" s="806"/>
      <c r="K32" s="806"/>
    </row>
    <row r="33" spans="1:11" ht="15" customHeight="1">
      <c r="A33" s="805" t="s">
        <v>15243</v>
      </c>
      <c r="D33" s="809">
        <f t="shared" ref="D33" si="21">D241</f>
        <v>76650</v>
      </c>
      <c r="E33" s="806"/>
      <c r="F33" s="805" t="s">
        <v>15237</v>
      </c>
      <c r="G33" s="806"/>
      <c r="H33" s="806"/>
      <c r="I33" s="806"/>
      <c r="J33" s="806"/>
      <c r="K33" s="806"/>
    </row>
    <row r="34" spans="1:11" ht="15" customHeight="1">
      <c r="A34" s="806"/>
      <c r="D34" s="814"/>
      <c r="E34" s="806"/>
      <c r="F34" s="806"/>
      <c r="G34" s="806"/>
      <c r="H34" s="806"/>
      <c r="I34" s="806"/>
      <c r="J34" s="806"/>
      <c r="K34" s="806"/>
    </row>
    <row r="35" spans="1:11">
      <c r="A35" s="805" t="s">
        <v>15244</v>
      </c>
      <c r="D35" s="815">
        <f>D366</f>
        <v>77333</v>
      </c>
      <c r="E35" s="806"/>
      <c r="F35" s="805" t="s">
        <v>13717</v>
      </c>
      <c r="G35" s="806"/>
      <c r="H35" s="806"/>
      <c r="I35" s="806"/>
      <c r="J35" s="806"/>
      <c r="K35" s="806"/>
    </row>
    <row r="36" spans="1:11">
      <c r="A36" s="806"/>
      <c r="D36" s="814"/>
      <c r="E36" s="806"/>
      <c r="F36" s="806"/>
      <c r="G36" s="806"/>
      <c r="H36" s="806"/>
      <c r="I36" s="806"/>
      <c r="J36" s="806"/>
      <c r="K36" s="806"/>
    </row>
    <row r="37" spans="1:11">
      <c r="A37" s="805" t="s">
        <v>15245</v>
      </c>
      <c r="D37" s="809">
        <f t="shared" ref="D37" si="22">D107</f>
        <v>75283</v>
      </c>
      <c r="E37" s="806"/>
      <c r="F37" s="805" t="s">
        <v>15240</v>
      </c>
      <c r="G37" s="806"/>
      <c r="H37" s="806"/>
      <c r="I37" s="806"/>
      <c r="J37" s="806"/>
      <c r="K37" s="806"/>
    </row>
    <row r="38" spans="1:11">
      <c r="A38" s="806"/>
      <c r="D38" s="814"/>
      <c r="E38" s="806"/>
      <c r="F38" s="806"/>
      <c r="G38" s="806"/>
      <c r="H38" s="806"/>
      <c r="I38" s="806"/>
      <c r="J38" s="806"/>
      <c r="K38" s="806"/>
    </row>
    <row r="39" spans="1:11">
      <c r="A39" s="805" t="s">
        <v>15246</v>
      </c>
      <c r="D39" s="809">
        <f t="shared" ref="D39" si="23">D268</f>
        <v>67339</v>
      </c>
      <c r="E39" s="806"/>
      <c r="F39" s="805" t="s">
        <v>15247</v>
      </c>
      <c r="G39" s="806"/>
      <c r="H39" s="806"/>
      <c r="I39" s="806"/>
      <c r="J39" s="806"/>
      <c r="K39" s="806"/>
    </row>
    <row r="40" spans="1:11" ht="15" thickBot="1">
      <c r="A40" s="805"/>
      <c r="D40" s="809">
        <f>D341</f>
        <v>9244</v>
      </c>
      <c r="E40" s="806"/>
      <c r="F40" s="805" t="s">
        <v>15248</v>
      </c>
      <c r="G40" s="806"/>
      <c r="H40" s="806"/>
      <c r="I40" s="806"/>
      <c r="J40" s="806"/>
      <c r="K40" s="806"/>
    </row>
    <row r="41" spans="1:11" ht="15" thickBot="1">
      <c r="A41" s="805"/>
      <c r="D41" s="816">
        <f t="shared" ref="D41" si="24">D39+D40</f>
        <v>76583</v>
      </c>
      <c r="E41" s="806"/>
      <c r="F41" s="805"/>
      <c r="G41" s="806"/>
      <c r="H41" s="806"/>
      <c r="I41" s="806"/>
      <c r="J41" s="806"/>
      <c r="K41" s="806"/>
    </row>
    <row r="42" spans="1:11">
      <c r="A42" s="806"/>
      <c r="D42" s="814"/>
      <c r="E42" s="806"/>
      <c r="F42" s="806"/>
      <c r="G42" s="806"/>
      <c r="H42" s="806"/>
      <c r="I42" s="806"/>
      <c r="J42" s="806"/>
      <c r="K42" s="806"/>
    </row>
    <row r="43" spans="1:11">
      <c r="A43" s="805" t="s">
        <v>14287</v>
      </c>
      <c r="D43" s="809">
        <f>D153</f>
        <v>15307</v>
      </c>
      <c r="E43" s="806"/>
      <c r="F43" s="805" t="s">
        <v>14288</v>
      </c>
      <c r="G43" s="806"/>
      <c r="H43" s="806"/>
      <c r="I43" s="806"/>
      <c r="J43" s="806"/>
      <c r="K43" s="806"/>
    </row>
    <row r="44" spans="1:11">
      <c r="A44" s="805"/>
      <c r="D44" s="809">
        <f>'EAST SUSSEX'!D38</f>
        <v>16535</v>
      </c>
      <c r="E44" s="806"/>
      <c r="F44" s="805" t="s">
        <v>14277</v>
      </c>
      <c r="G44" s="806"/>
      <c r="H44" s="806"/>
      <c r="I44" s="806"/>
      <c r="J44" s="806"/>
      <c r="K44" s="806"/>
    </row>
    <row r="45" spans="1:11">
      <c r="A45" s="805"/>
      <c r="D45" s="815">
        <f t="shared" ref="D45" si="25">D497</f>
        <v>14357</v>
      </c>
      <c r="E45" s="806"/>
      <c r="F45" s="805" t="s">
        <v>14289</v>
      </c>
      <c r="G45" s="806"/>
      <c r="H45" s="806"/>
      <c r="I45" s="806"/>
      <c r="J45" s="806"/>
      <c r="K45" s="806"/>
    </row>
    <row r="46" spans="1:11" ht="15" thickBot="1">
      <c r="A46" s="805"/>
      <c r="D46" s="810">
        <f>'EAST SUSSEX'!D40</f>
        <v>27903</v>
      </c>
      <c r="E46" s="806"/>
      <c r="F46" s="805" t="s">
        <v>14278</v>
      </c>
      <c r="G46" s="806"/>
      <c r="H46" s="806"/>
      <c r="I46" s="806"/>
      <c r="J46" s="806"/>
      <c r="K46" s="806"/>
    </row>
    <row r="47" spans="1:11" ht="15" thickBot="1">
      <c r="A47" s="806"/>
      <c r="D47" s="810">
        <f>SUM(D43:D46)</f>
        <v>74102</v>
      </c>
      <c r="E47" s="806"/>
      <c r="F47" s="806"/>
      <c r="G47" s="806"/>
      <c r="H47" s="806"/>
      <c r="I47" s="806"/>
      <c r="J47" s="806"/>
      <c r="K47" s="806"/>
    </row>
    <row r="48" spans="1:11">
      <c r="A48" s="806"/>
      <c r="D48" s="815"/>
      <c r="E48" s="806"/>
      <c r="F48" s="806"/>
      <c r="G48" s="806"/>
      <c r="H48" s="806"/>
      <c r="I48" s="806"/>
      <c r="J48" s="806"/>
      <c r="K48" s="806"/>
    </row>
    <row r="49" spans="1:11">
      <c r="A49" s="806" t="s">
        <v>15249</v>
      </c>
      <c r="D49" s="815">
        <f>D184</f>
        <v>56186</v>
      </c>
      <c r="E49" s="806"/>
      <c r="F49" s="805" t="s">
        <v>15236</v>
      </c>
      <c r="G49" s="806"/>
      <c r="H49" s="806"/>
      <c r="I49" s="806"/>
      <c r="J49" s="806"/>
      <c r="K49" s="806"/>
    </row>
    <row r="50" spans="1:11" ht="15" thickBot="1">
      <c r="A50" s="806"/>
      <c r="D50" s="815">
        <f>D432</f>
        <v>18837</v>
      </c>
      <c r="E50" s="806"/>
      <c r="F50" s="805" t="s">
        <v>15250</v>
      </c>
      <c r="G50" s="806"/>
      <c r="H50" s="806"/>
      <c r="I50" s="806"/>
      <c r="J50" s="806"/>
      <c r="K50" s="806"/>
    </row>
    <row r="51" spans="1:11" ht="15" thickBot="1">
      <c r="A51" s="806"/>
      <c r="D51" s="816">
        <f>D49+D50</f>
        <v>75023</v>
      </c>
      <c r="E51" s="806"/>
      <c r="F51" s="806"/>
      <c r="G51" s="806"/>
      <c r="H51" s="806"/>
      <c r="I51" s="806"/>
      <c r="J51" s="806"/>
      <c r="K51" s="806"/>
    </row>
    <row r="52" spans="1:11">
      <c r="A52" s="806"/>
      <c r="D52" s="814"/>
      <c r="E52" s="806"/>
      <c r="F52" s="806"/>
      <c r="G52" s="806"/>
      <c r="H52" s="806"/>
      <c r="I52" s="806"/>
      <c r="J52" s="806"/>
      <c r="K52" s="806"/>
    </row>
    <row r="53" spans="1:11">
      <c r="A53" s="805" t="s">
        <v>15251</v>
      </c>
      <c r="D53" s="809">
        <f>D304</f>
        <v>71284</v>
      </c>
      <c r="E53" s="806"/>
      <c r="F53" s="805" t="s">
        <v>15252</v>
      </c>
      <c r="G53" s="806"/>
      <c r="H53" s="806"/>
      <c r="I53" s="806"/>
      <c r="J53" s="806"/>
      <c r="K53" s="806"/>
    </row>
    <row r="54" spans="1:11">
      <c r="A54" s="806"/>
      <c r="D54" s="814"/>
      <c r="E54" s="806"/>
      <c r="F54" s="806"/>
      <c r="G54" s="806"/>
      <c r="H54" s="806"/>
      <c r="I54" s="806"/>
      <c r="J54" s="806"/>
      <c r="K54" s="806"/>
    </row>
    <row r="55" spans="1:11">
      <c r="A55" s="805" t="s">
        <v>15253</v>
      </c>
      <c r="D55" s="814">
        <f>D269</f>
        <v>3138</v>
      </c>
      <c r="E55" s="806"/>
      <c r="F55" s="805" t="s">
        <v>15247</v>
      </c>
      <c r="G55" s="806"/>
      <c r="H55" s="806"/>
      <c r="I55" s="806"/>
      <c r="J55" s="806"/>
      <c r="K55" s="806"/>
    </row>
    <row r="56" spans="1:11" ht="15" thickBot="1">
      <c r="D56" s="810">
        <f t="shared" ref="D56" si="26">D108</f>
        <v>75317</v>
      </c>
      <c r="E56" s="806"/>
      <c r="F56" s="805" t="s">
        <v>15240</v>
      </c>
      <c r="G56" s="806"/>
      <c r="H56" s="806"/>
      <c r="I56" s="806"/>
      <c r="J56" s="806"/>
      <c r="K56" s="806"/>
    </row>
    <row r="57" spans="1:11" ht="15" thickBot="1">
      <c r="A57" s="805"/>
      <c r="D57" s="816">
        <f>D55+D56</f>
        <v>78455</v>
      </c>
      <c r="E57" s="806"/>
      <c r="F57" s="805"/>
      <c r="G57" s="806"/>
      <c r="H57" s="806"/>
      <c r="I57" s="806"/>
      <c r="J57" s="806"/>
      <c r="K57" s="806"/>
    </row>
    <row r="58" spans="1:11">
      <c r="A58" s="806"/>
      <c r="D58" s="814"/>
      <c r="E58" s="806"/>
      <c r="F58" s="806"/>
      <c r="G58" s="806"/>
      <c r="H58" s="806"/>
      <c r="I58" s="806"/>
      <c r="J58" s="806"/>
      <c r="K58" s="806"/>
    </row>
    <row r="59" spans="1:11">
      <c r="A59" s="805" t="s">
        <v>15254</v>
      </c>
      <c r="D59" s="809">
        <f t="shared" ref="D59" si="27">D342</f>
        <v>64775</v>
      </c>
      <c r="E59" s="806"/>
      <c r="F59" s="805" t="s">
        <v>15248</v>
      </c>
      <c r="G59" s="806"/>
      <c r="H59" s="806"/>
      <c r="I59" s="806"/>
      <c r="J59" s="806"/>
      <c r="K59" s="806"/>
    </row>
    <row r="60" spans="1:11" ht="15" thickBot="1">
      <c r="A60" s="805"/>
      <c r="D60" s="810">
        <f>D467</f>
        <v>11836</v>
      </c>
      <c r="E60" s="806"/>
      <c r="F60" s="805" t="s">
        <v>15241</v>
      </c>
      <c r="G60" s="806"/>
      <c r="H60" s="806"/>
      <c r="I60" s="806"/>
      <c r="J60" s="806"/>
      <c r="K60" s="806"/>
    </row>
    <row r="61" spans="1:11" ht="15" thickBot="1">
      <c r="A61" s="805"/>
      <c r="D61" s="810">
        <f t="shared" ref="D61" si="28">D59+D60</f>
        <v>76611</v>
      </c>
      <c r="E61" s="806"/>
      <c r="F61" s="805"/>
      <c r="G61" s="806"/>
      <c r="H61" s="806"/>
      <c r="I61" s="806"/>
      <c r="J61" s="806"/>
      <c r="K61" s="806"/>
    </row>
    <row r="62" spans="1:11">
      <c r="A62" s="806"/>
      <c r="D62" s="814"/>
      <c r="E62" s="806"/>
      <c r="F62" s="806"/>
      <c r="G62" s="806"/>
      <c r="H62" s="806"/>
      <c r="I62" s="806"/>
      <c r="J62" s="806"/>
      <c r="K62" s="806"/>
    </row>
    <row r="63" spans="1:11">
      <c r="A63" s="805" t="s">
        <v>15255</v>
      </c>
      <c r="D63" s="809">
        <f t="shared" ref="D63" si="29">D400</f>
        <v>75638</v>
      </c>
      <c r="E63" s="806"/>
      <c r="F63" s="805" t="s">
        <v>15238</v>
      </c>
      <c r="G63" s="806"/>
      <c r="H63" s="806"/>
      <c r="I63" s="806"/>
      <c r="J63" s="806"/>
      <c r="K63" s="806"/>
    </row>
    <row r="64" spans="1:11">
      <c r="A64" s="806"/>
      <c r="D64" s="814"/>
      <c r="E64" s="806"/>
      <c r="F64" s="806"/>
      <c r="G64" s="806"/>
      <c r="H64" s="806"/>
      <c r="I64" s="806"/>
      <c r="J64" s="806"/>
      <c r="K64" s="806"/>
    </row>
    <row r="65" spans="1:11">
      <c r="A65" s="805" t="s">
        <v>15256</v>
      </c>
      <c r="D65" s="815">
        <f>D433</f>
        <v>78130</v>
      </c>
      <c r="E65" s="806"/>
      <c r="F65" s="805" t="s">
        <v>15250</v>
      </c>
      <c r="G65" s="806"/>
      <c r="H65" s="806"/>
      <c r="I65" s="806"/>
      <c r="J65" s="806"/>
      <c r="K65" s="806"/>
    </row>
    <row r="66" spans="1:11">
      <c r="A66" s="806"/>
      <c r="D66" s="814"/>
      <c r="E66" s="806"/>
      <c r="F66" s="806"/>
      <c r="G66" s="806"/>
      <c r="H66" s="806"/>
      <c r="I66" s="806"/>
      <c r="J66" s="806"/>
      <c r="K66" s="806"/>
    </row>
    <row r="67" spans="1:11">
      <c r="A67" s="805" t="s">
        <v>15257</v>
      </c>
      <c r="D67" s="809">
        <f>D305</f>
        <v>37148</v>
      </c>
      <c r="E67" s="806"/>
      <c r="F67" s="805" t="s">
        <v>15252</v>
      </c>
      <c r="G67" s="806"/>
      <c r="H67" s="806"/>
      <c r="I67" s="806"/>
      <c r="J67" s="806"/>
      <c r="K67" s="806"/>
    </row>
    <row r="68" spans="1:11" ht="15" thickBot="1">
      <c r="A68" s="806"/>
      <c r="D68" s="810">
        <f t="shared" ref="D68" si="30">D468</f>
        <v>34427</v>
      </c>
      <c r="E68" s="806"/>
      <c r="F68" s="805" t="s">
        <v>15241</v>
      </c>
      <c r="G68" s="806"/>
      <c r="H68" s="806"/>
      <c r="I68" s="806"/>
      <c r="J68" s="806"/>
      <c r="K68" s="806"/>
    </row>
    <row r="69" spans="1:11" ht="15" thickBot="1">
      <c r="A69" s="806"/>
      <c r="D69" s="810">
        <f t="shared" ref="D69" si="31">D67+D68</f>
        <v>71575</v>
      </c>
      <c r="E69" s="806"/>
      <c r="F69" s="806"/>
      <c r="G69" s="806"/>
      <c r="H69" s="806"/>
      <c r="I69" s="806"/>
      <c r="J69" s="806"/>
      <c r="K69" s="806"/>
    </row>
    <row r="70" spans="1:11">
      <c r="A70" s="806"/>
      <c r="D70" s="814"/>
      <c r="E70" s="806"/>
      <c r="F70" s="806"/>
      <c r="G70" s="806"/>
      <c r="H70" s="806"/>
      <c r="I70" s="806"/>
      <c r="J70" s="806"/>
      <c r="K70" s="806"/>
    </row>
    <row r="71" spans="1:11">
      <c r="A71" s="805" t="s">
        <v>15258</v>
      </c>
      <c r="D71" s="814">
        <f>D343</f>
        <v>11848</v>
      </c>
      <c r="E71" s="806"/>
      <c r="F71" s="805" t="s">
        <v>15248</v>
      </c>
      <c r="G71" s="806"/>
      <c r="H71" s="806"/>
      <c r="I71" s="806"/>
      <c r="J71" s="806"/>
      <c r="K71" s="806"/>
    </row>
    <row r="72" spans="1:11" ht="15" thickBot="1">
      <c r="D72" s="810">
        <f t="shared" ref="D72" si="32">D498</f>
        <v>62023</v>
      </c>
      <c r="E72" s="806"/>
      <c r="F72" s="805" t="s">
        <v>14289</v>
      </c>
      <c r="G72" s="806"/>
      <c r="H72" s="806"/>
      <c r="I72" s="806"/>
      <c r="J72" s="806"/>
      <c r="K72" s="806"/>
    </row>
    <row r="73" spans="1:11" ht="15" thickBot="1">
      <c r="D73" s="810">
        <f t="shared" ref="D73" si="33">D71+D72</f>
        <v>73871</v>
      </c>
      <c r="E73" s="806"/>
      <c r="F73" s="805"/>
      <c r="G73" s="806"/>
      <c r="H73" s="806"/>
      <c r="I73" s="806"/>
      <c r="J73" s="806"/>
      <c r="K73" s="806"/>
    </row>
    <row r="74" spans="1:11">
      <c r="A74" s="806"/>
      <c r="B74" s="806"/>
      <c r="C74" s="806"/>
      <c r="D74" s="814"/>
      <c r="E74" s="806"/>
      <c r="F74" s="806"/>
      <c r="G74" s="806"/>
      <c r="H74" s="806"/>
      <c r="I74" s="806"/>
      <c r="J74" s="806"/>
      <c r="K74" s="806"/>
    </row>
    <row r="75" spans="1:11">
      <c r="A75" s="805" t="s">
        <v>1041</v>
      </c>
      <c r="B75" s="806"/>
      <c r="C75" s="806"/>
      <c r="D75" s="809">
        <f>D20+D29+D31+D33+D25+D35+D37+D41+D43+D45+D51+D53+D57+D61+D63+D65+D69+D73</f>
        <v>1227088</v>
      </c>
      <c r="E75" s="806"/>
      <c r="F75" s="806"/>
      <c r="G75" s="806"/>
      <c r="H75" s="806"/>
      <c r="I75" s="806"/>
      <c r="J75" s="806"/>
      <c r="K75" s="806"/>
    </row>
    <row r="76" spans="1:11">
      <c r="A76" s="806"/>
      <c r="B76" s="806"/>
      <c r="C76" s="806"/>
      <c r="D76" s="814"/>
      <c r="E76" s="806"/>
      <c r="F76" s="806"/>
      <c r="G76" s="806"/>
      <c r="H76" s="806"/>
      <c r="I76" s="806"/>
      <c r="J76" s="806"/>
      <c r="K76" s="806"/>
    </row>
    <row r="77" spans="1:11">
      <c r="A77" s="805" t="s">
        <v>15259</v>
      </c>
      <c r="B77" s="806"/>
      <c r="C77" s="806"/>
      <c r="D77" s="809"/>
      <c r="E77" s="806"/>
      <c r="F77" s="806"/>
      <c r="G77" s="806"/>
      <c r="H77" s="806"/>
      <c r="I77" s="806"/>
      <c r="J77" s="806"/>
      <c r="K77" s="806"/>
    </row>
    <row r="78" spans="1:11">
      <c r="A78" s="805"/>
      <c r="B78" s="806"/>
      <c r="C78" s="806"/>
      <c r="D78" s="817"/>
      <c r="E78" s="806"/>
      <c r="F78" s="806"/>
      <c r="G78" s="806"/>
      <c r="H78" s="806"/>
      <c r="I78" s="806"/>
      <c r="J78" s="806"/>
      <c r="K78" s="806"/>
    </row>
    <row r="79" spans="1:11">
      <c r="A79" s="796"/>
      <c r="B79" s="806"/>
      <c r="C79" s="806"/>
      <c r="D79" s="817"/>
      <c r="E79" s="806"/>
      <c r="F79" s="806"/>
      <c r="G79" s="806"/>
      <c r="H79" s="806"/>
      <c r="I79" s="806"/>
      <c r="J79" s="806"/>
      <c r="K79" s="806"/>
    </row>
    <row r="80" spans="1:11">
      <c r="A80" s="806"/>
      <c r="B80" s="806"/>
      <c r="C80" s="806"/>
      <c r="D80" s="10" t="s">
        <v>285</v>
      </c>
      <c r="E80" s="16"/>
      <c r="F80" s="5" t="s">
        <v>4116</v>
      </c>
      <c r="G80" s="806"/>
      <c r="H80" s="806"/>
      <c r="I80" s="806"/>
      <c r="J80" s="806"/>
      <c r="K80" s="806"/>
    </row>
    <row r="81" spans="1:11">
      <c r="A81" s="806"/>
      <c r="B81" s="806"/>
      <c r="C81" s="806"/>
      <c r="D81" s="15">
        <v>2016</v>
      </c>
      <c r="E81" s="806"/>
      <c r="F81" s="18" t="s">
        <v>286</v>
      </c>
      <c r="G81" s="806"/>
      <c r="H81" s="806"/>
      <c r="I81" s="806"/>
      <c r="J81" s="806"/>
      <c r="K81" s="806"/>
    </row>
    <row r="82" spans="1:11">
      <c r="A82" s="805" t="s">
        <v>15221</v>
      </c>
      <c r="C82" s="805"/>
      <c r="D82" s="809">
        <f t="shared" ref="D82" si="34">SUM(D83:D104)</f>
        <v>182325</v>
      </c>
      <c r="E82" s="806"/>
      <c r="F82" s="806"/>
      <c r="G82" s="806"/>
      <c r="H82" s="806"/>
      <c r="I82" s="806"/>
      <c r="J82" s="806"/>
      <c r="K82" s="806"/>
    </row>
    <row r="83" spans="1:11">
      <c r="A83" s="818">
        <v>1</v>
      </c>
      <c r="B83" s="805" t="s">
        <v>15260</v>
      </c>
      <c r="C83" s="292" t="s">
        <v>15261</v>
      </c>
      <c r="D83" s="316">
        <v>8996</v>
      </c>
      <c r="E83" s="806"/>
      <c r="F83" s="805" t="s">
        <v>15239</v>
      </c>
      <c r="G83" s="292"/>
      <c r="I83" s="292"/>
      <c r="J83" s="806"/>
      <c r="K83" s="806"/>
    </row>
    <row r="84" spans="1:11">
      <c r="A84" s="818">
        <v>2</v>
      </c>
      <c r="B84" s="805" t="s">
        <v>15262</v>
      </c>
      <c r="C84" s="292" t="s">
        <v>15263</v>
      </c>
      <c r="D84" s="316">
        <v>4384</v>
      </c>
      <c r="E84" s="806"/>
      <c r="F84" s="805" t="s">
        <v>15253</v>
      </c>
      <c r="G84" s="292"/>
      <c r="I84" s="292"/>
      <c r="J84" s="806"/>
      <c r="K84" s="806"/>
    </row>
    <row r="85" spans="1:11">
      <c r="A85" s="818">
        <v>3</v>
      </c>
      <c r="B85" s="805" t="s">
        <v>15264</v>
      </c>
      <c r="C85" s="292" t="s">
        <v>15265</v>
      </c>
      <c r="D85" s="316">
        <v>10351</v>
      </c>
      <c r="E85" s="806"/>
      <c r="F85" s="805" t="s">
        <v>15245</v>
      </c>
      <c r="G85" s="292"/>
      <c r="I85" s="292"/>
      <c r="J85" s="806"/>
      <c r="K85" s="806"/>
    </row>
    <row r="86" spans="1:11">
      <c r="A86" s="818">
        <v>4</v>
      </c>
      <c r="B86" s="805" t="s">
        <v>15266</v>
      </c>
      <c r="C86" s="292" t="s">
        <v>15267</v>
      </c>
      <c r="D86" s="316">
        <v>10137</v>
      </c>
      <c r="E86" s="806"/>
      <c r="F86" s="805" t="s">
        <v>15245</v>
      </c>
      <c r="G86" s="292"/>
      <c r="I86" s="292"/>
      <c r="J86" s="806"/>
      <c r="K86" s="806"/>
    </row>
    <row r="87" spans="1:11">
      <c r="A87" s="818">
        <v>5</v>
      </c>
      <c r="B87" s="805" t="s">
        <v>15268</v>
      </c>
      <c r="C87" s="292" t="s">
        <v>15269</v>
      </c>
      <c r="D87" s="316">
        <v>6269</v>
      </c>
      <c r="E87" s="806"/>
      <c r="F87" s="805" t="s">
        <v>15245</v>
      </c>
      <c r="G87" s="292"/>
      <c r="I87" s="292"/>
      <c r="J87" s="806"/>
      <c r="K87" s="806"/>
    </row>
    <row r="88" spans="1:11">
      <c r="A88" s="818">
        <v>6</v>
      </c>
      <c r="B88" s="805" t="s">
        <v>15270</v>
      </c>
      <c r="C88" s="292" t="s">
        <v>15271</v>
      </c>
      <c r="D88" s="316">
        <v>6393</v>
      </c>
      <c r="E88" s="806"/>
      <c r="F88" s="805" t="s">
        <v>15245</v>
      </c>
      <c r="G88" s="292"/>
      <c r="I88" s="292"/>
      <c r="J88" s="806"/>
      <c r="K88" s="806"/>
    </row>
    <row r="89" spans="1:11">
      <c r="A89" s="818">
        <v>7</v>
      </c>
      <c r="B89" s="805" t="s">
        <v>15272</v>
      </c>
      <c r="C89" s="292" t="s">
        <v>15273</v>
      </c>
      <c r="D89" s="316">
        <v>8936</v>
      </c>
      <c r="E89" s="806"/>
      <c r="F89" s="805" t="s">
        <v>15239</v>
      </c>
      <c r="G89" s="292"/>
      <c r="I89" s="292"/>
      <c r="J89" s="806"/>
      <c r="K89" s="806"/>
    </row>
    <row r="90" spans="1:11">
      <c r="A90" s="818">
        <v>8</v>
      </c>
      <c r="B90" s="805" t="s">
        <v>9674</v>
      </c>
      <c r="C90" s="292" t="s">
        <v>15274</v>
      </c>
      <c r="D90" s="316">
        <v>10544</v>
      </c>
      <c r="E90" s="806"/>
      <c r="F90" s="805" t="s">
        <v>15253</v>
      </c>
      <c r="G90" s="292"/>
      <c r="I90" s="292"/>
      <c r="J90" s="806"/>
      <c r="K90" s="806"/>
    </row>
    <row r="91" spans="1:11">
      <c r="A91" s="818">
        <v>9</v>
      </c>
      <c r="B91" s="805" t="s">
        <v>13545</v>
      </c>
      <c r="C91" s="292" t="s">
        <v>15275</v>
      </c>
      <c r="D91" s="316">
        <v>6837</v>
      </c>
      <c r="E91" s="806"/>
      <c r="F91" s="805" t="s">
        <v>15239</v>
      </c>
      <c r="G91" s="292"/>
      <c r="I91" s="292"/>
      <c r="J91" s="806"/>
      <c r="K91" s="806"/>
    </row>
    <row r="92" spans="1:11">
      <c r="A92" s="818">
        <v>10</v>
      </c>
      <c r="B92" s="805" t="s">
        <v>15276</v>
      </c>
      <c r="C92" s="292" t="s">
        <v>15277</v>
      </c>
      <c r="D92" s="316">
        <v>9488</v>
      </c>
      <c r="E92" s="806"/>
      <c r="F92" s="805" t="s">
        <v>15245</v>
      </c>
      <c r="G92" s="292"/>
      <c r="I92" s="292"/>
      <c r="J92" s="806"/>
      <c r="K92" s="806"/>
    </row>
    <row r="93" spans="1:11">
      <c r="A93" s="818">
        <v>11</v>
      </c>
      <c r="B93" s="805" t="s">
        <v>15278</v>
      </c>
      <c r="C93" s="292" t="s">
        <v>15279</v>
      </c>
      <c r="D93" s="316">
        <v>6546</v>
      </c>
      <c r="E93" s="806"/>
      <c r="F93" s="805" t="s">
        <v>15245</v>
      </c>
      <c r="G93" s="292"/>
      <c r="I93" s="292"/>
      <c r="J93" s="806"/>
      <c r="K93" s="806"/>
    </row>
    <row r="94" spans="1:11">
      <c r="A94" s="818">
        <v>12</v>
      </c>
      <c r="B94" s="805" t="s">
        <v>15280</v>
      </c>
      <c r="C94" s="292" t="s">
        <v>15281</v>
      </c>
      <c r="D94" s="316">
        <v>9613</v>
      </c>
      <c r="E94" s="806"/>
      <c r="F94" s="805" t="s">
        <v>15245</v>
      </c>
      <c r="G94" s="292"/>
      <c r="I94" s="292"/>
      <c r="J94" s="806"/>
      <c r="K94" s="806"/>
    </row>
    <row r="95" spans="1:11">
      <c r="A95" s="818">
        <v>13</v>
      </c>
      <c r="B95" s="805" t="s">
        <v>9205</v>
      </c>
      <c r="C95" s="292" t="s">
        <v>15282</v>
      </c>
      <c r="D95" s="316">
        <v>5741</v>
      </c>
      <c r="E95" s="806"/>
      <c r="F95" s="805" t="s">
        <v>15253</v>
      </c>
      <c r="G95" s="292"/>
      <c r="I95" s="292"/>
      <c r="J95" s="806"/>
      <c r="K95" s="806"/>
    </row>
    <row r="96" spans="1:11">
      <c r="A96" s="818">
        <v>14</v>
      </c>
      <c r="B96" s="805" t="s">
        <v>15283</v>
      </c>
      <c r="C96" s="292" t="s">
        <v>15284</v>
      </c>
      <c r="D96" s="316">
        <v>7181</v>
      </c>
      <c r="E96" s="806"/>
      <c r="F96" s="805" t="s">
        <v>15253</v>
      </c>
      <c r="G96" s="292"/>
      <c r="I96" s="292"/>
      <c r="J96" s="806"/>
      <c r="K96" s="806"/>
    </row>
    <row r="97" spans="1:11">
      <c r="A97" s="818">
        <v>15</v>
      </c>
      <c r="B97" s="805" t="s">
        <v>15285</v>
      </c>
      <c r="C97" s="292" t="s">
        <v>15286</v>
      </c>
      <c r="D97" s="316">
        <v>9509</v>
      </c>
      <c r="E97" s="806"/>
      <c r="F97" s="805" t="s">
        <v>15253</v>
      </c>
      <c r="G97" s="292"/>
      <c r="I97" s="292"/>
      <c r="J97" s="806"/>
      <c r="K97" s="806"/>
    </row>
    <row r="98" spans="1:11">
      <c r="A98" s="818">
        <v>16</v>
      </c>
      <c r="B98" s="805" t="s">
        <v>15287</v>
      </c>
      <c r="C98" s="292" t="s">
        <v>15288</v>
      </c>
      <c r="D98" s="316">
        <v>7318</v>
      </c>
      <c r="E98" s="806"/>
      <c r="F98" s="805" t="s">
        <v>15253</v>
      </c>
      <c r="G98" s="292"/>
      <c r="I98" s="292"/>
      <c r="J98" s="806"/>
      <c r="K98" s="806"/>
    </row>
    <row r="99" spans="1:11">
      <c r="A99" s="818">
        <v>17</v>
      </c>
      <c r="B99" s="805" t="s">
        <v>15289</v>
      </c>
      <c r="C99" s="292" t="s">
        <v>15290</v>
      </c>
      <c r="D99" s="316">
        <v>9674</v>
      </c>
      <c r="E99" s="806"/>
      <c r="F99" s="805" t="s">
        <v>15253</v>
      </c>
      <c r="G99" s="292"/>
      <c r="I99" s="292"/>
      <c r="J99" s="806"/>
      <c r="K99" s="806"/>
    </row>
    <row r="100" spans="1:11">
      <c r="A100" s="818">
        <v>18</v>
      </c>
      <c r="B100" s="805" t="s">
        <v>15291</v>
      </c>
      <c r="C100" s="292" t="s">
        <v>15292</v>
      </c>
      <c r="D100" s="316">
        <v>10681</v>
      </c>
      <c r="E100" s="806"/>
      <c r="F100" s="805" t="s">
        <v>15253</v>
      </c>
      <c r="G100" s="292"/>
      <c r="I100" s="292"/>
      <c r="J100" s="806"/>
      <c r="K100" s="806"/>
    </row>
    <row r="101" spans="1:11">
      <c r="A101" s="818">
        <v>19</v>
      </c>
      <c r="B101" s="805" t="s">
        <v>15293</v>
      </c>
      <c r="C101" s="292" t="s">
        <v>15294</v>
      </c>
      <c r="D101" s="316">
        <v>10285</v>
      </c>
      <c r="E101" s="806"/>
      <c r="F101" s="805" t="s">
        <v>15253</v>
      </c>
      <c r="G101" s="292"/>
      <c r="I101" s="292"/>
      <c r="J101" s="806"/>
      <c r="K101" s="806"/>
    </row>
    <row r="102" spans="1:11">
      <c r="A102" s="818">
        <v>20</v>
      </c>
      <c r="B102" s="805" t="s">
        <v>15295</v>
      </c>
      <c r="C102" s="292" t="s">
        <v>15296</v>
      </c>
      <c r="D102" s="316">
        <v>9642</v>
      </c>
      <c r="E102" s="806"/>
      <c r="F102" s="805" t="s">
        <v>15245</v>
      </c>
      <c r="G102" s="292"/>
      <c r="I102" s="292"/>
      <c r="J102" s="806"/>
      <c r="K102" s="806"/>
    </row>
    <row r="103" spans="1:11">
      <c r="A103" s="818">
        <v>21</v>
      </c>
      <c r="B103" s="805" t="s">
        <v>15297</v>
      </c>
      <c r="C103" s="292" t="s">
        <v>15298</v>
      </c>
      <c r="D103" s="316">
        <v>6956</v>
      </c>
      <c r="E103" s="806"/>
      <c r="F103" s="805" t="s">
        <v>15239</v>
      </c>
      <c r="G103" s="292"/>
      <c r="I103" s="292"/>
      <c r="J103" s="806"/>
      <c r="K103" s="806"/>
    </row>
    <row r="104" spans="1:11">
      <c r="A104" s="818">
        <v>22</v>
      </c>
      <c r="B104" s="805" t="s">
        <v>8062</v>
      </c>
      <c r="C104" s="292" t="s">
        <v>15299</v>
      </c>
      <c r="D104" s="316">
        <v>6844</v>
      </c>
      <c r="E104" s="806"/>
      <c r="F104" s="805" t="s">
        <v>15245</v>
      </c>
      <c r="G104" s="292"/>
      <c r="I104" s="292"/>
      <c r="J104" s="806"/>
      <c r="K104" s="806"/>
    </row>
    <row r="105" spans="1:11">
      <c r="A105" s="796"/>
      <c r="B105" s="796"/>
      <c r="C105" s="806"/>
      <c r="D105" s="819"/>
      <c r="E105" s="796"/>
      <c r="F105" s="796"/>
      <c r="G105" s="806"/>
      <c r="I105" s="806"/>
      <c r="J105" s="806"/>
      <c r="K105" s="806"/>
    </row>
    <row r="106" spans="1:11">
      <c r="A106" s="805" t="s">
        <v>15300</v>
      </c>
      <c r="C106" s="806"/>
      <c r="D106" s="809">
        <f>D83+D89+D91+D103</f>
        <v>31725</v>
      </c>
      <c r="E106" s="806"/>
      <c r="F106" s="806"/>
      <c r="G106" s="806"/>
      <c r="I106" s="806"/>
      <c r="J106" s="806"/>
      <c r="K106" s="806"/>
    </row>
    <row r="107" spans="1:11">
      <c r="A107" s="805" t="s">
        <v>15245</v>
      </c>
      <c r="C107" s="806"/>
      <c r="D107" s="809">
        <f>SUM(D85:D88)+SUM(D92:D94)+D102+D104</f>
        <v>75283</v>
      </c>
      <c r="E107" s="796"/>
      <c r="F107" s="806"/>
      <c r="G107" s="806"/>
      <c r="I107" s="806"/>
      <c r="J107" s="806"/>
      <c r="K107" s="806"/>
    </row>
    <row r="108" spans="1:11">
      <c r="A108" s="805" t="s">
        <v>15253</v>
      </c>
      <c r="C108" s="806"/>
      <c r="D108" s="809">
        <f t="shared" ref="D108" si="35">D84+D90+SUM(D95:D101)</f>
        <v>75317</v>
      </c>
      <c r="E108" s="809"/>
      <c r="F108" s="806"/>
      <c r="G108" s="806"/>
      <c r="I108" s="806"/>
      <c r="J108" s="806"/>
      <c r="K108" s="806"/>
    </row>
    <row r="109" spans="1:11">
      <c r="A109" s="805"/>
      <c r="B109" s="805"/>
      <c r="C109" s="806"/>
      <c r="D109" s="820"/>
      <c r="E109" s="806"/>
      <c r="F109" s="806"/>
      <c r="G109" s="806"/>
      <c r="I109" s="806"/>
      <c r="J109" s="806"/>
      <c r="K109" s="806"/>
    </row>
    <row r="110" spans="1:11">
      <c r="A110" s="805" t="s">
        <v>15301</v>
      </c>
      <c r="B110" s="805"/>
      <c r="C110" s="806"/>
      <c r="D110" s="820"/>
      <c r="E110" s="806"/>
      <c r="F110" s="806"/>
      <c r="G110" s="806"/>
      <c r="I110" s="806"/>
      <c r="J110" s="806"/>
      <c r="K110" s="806"/>
    </row>
    <row r="111" spans="1:11">
      <c r="B111" s="805"/>
      <c r="C111" s="806"/>
      <c r="D111" s="820"/>
      <c r="E111" s="806"/>
      <c r="F111" s="806"/>
      <c r="G111" s="806"/>
      <c r="I111" s="806"/>
      <c r="J111" s="806"/>
      <c r="K111" s="806"/>
    </row>
    <row r="112" spans="1:11">
      <c r="B112" s="805"/>
      <c r="C112" s="806"/>
      <c r="D112" s="820"/>
      <c r="E112" s="806"/>
      <c r="F112" s="806"/>
      <c r="G112" s="806"/>
      <c r="I112" s="806"/>
      <c r="J112" s="806"/>
      <c r="K112" s="806"/>
    </row>
    <row r="113" spans="1:11">
      <c r="A113" s="806"/>
      <c r="B113" s="806"/>
      <c r="C113" s="806"/>
      <c r="D113" s="10" t="s">
        <v>285</v>
      </c>
      <c r="E113" s="16"/>
      <c r="F113" s="5" t="s">
        <v>4116</v>
      </c>
      <c r="G113" s="806"/>
      <c r="I113" s="806"/>
      <c r="J113" s="806"/>
      <c r="K113" s="806"/>
    </row>
    <row r="114" spans="1:11">
      <c r="A114" s="806"/>
      <c r="B114" s="806"/>
      <c r="C114" s="806"/>
      <c r="D114" s="15">
        <v>2016</v>
      </c>
      <c r="E114" s="806"/>
      <c r="F114" s="18" t="s">
        <v>286</v>
      </c>
      <c r="G114" s="806"/>
      <c r="I114" s="806"/>
      <c r="J114" s="806"/>
      <c r="K114" s="806"/>
    </row>
    <row r="115" spans="1:11">
      <c r="A115" s="805" t="s">
        <v>15302</v>
      </c>
      <c r="C115" s="806"/>
      <c r="D115" s="809">
        <f t="shared" ref="D115" si="36">SUM(D116:D150)</f>
        <v>86610</v>
      </c>
      <c r="E115" s="806"/>
      <c r="F115" s="806"/>
      <c r="G115" s="806"/>
      <c r="I115" s="806"/>
      <c r="J115" s="806"/>
      <c r="K115" s="806"/>
    </row>
    <row r="116" spans="1:11">
      <c r="A116" s="805" t="s">
        <v>812</v>
      </c>
      <c r="B116" s="805" t="s">
        <v>15303</v>
      </c>
      <c r="C116" s="292" t="s">
        <v>15304</v>
      </c>
      <c r="D116" s="293">
        <v>2341</v>
      </c>
      <c r="E116" s="806"/>
      <c r="F116" s="805" t="s">
        <v>15234</v>
      </c>
      <c r="G116" s="292"/>
      <c r="H116" s="292"/>
      <c r="I116" s="292"/>
      <c r="J116" s="806"/>
      <c r="K116" s="806"/>
    </row>
    <row r="117" spans="1:11">
      <c r="A117" s="805" t="s">
        <v>813</v>
      </c>
      <c r="B117" s="805" t="s">
        <v>15305</v>
      </c>
      <c r="C117" s="292" t="s">
        <v>15306</v>
      </c>
      <c r="D117" s="293">
        <v>3817</v>
      </c>
      <c r="E117" s="806"/>
      <c r="F117" s="805" t="s">
        <v>15234</v>
      </c>
      <c r="G117" s="292"/>
      <c r="H117" s="292"/>
      <c r="I117" s="292"/>
      <c r="J117" s="806"/>
      <c r="K117" s="806"/>
    </row>
    <row r="118" spans="1:11">
      <c r="A118" s="805" t="s">
        <v>814</v>
      </c>
      <c r="B118" s="805" t="s">
        <v>15307</v>
      </c>
      <c r="C118" s="292" t="s">
        <v>15308</v>
      </c>
      <c r="D118" s="293">
        <v>1977</v>
      </c>
      <c r="E118" s="806"/>
      <c r="F118" s="805" t="s">
        <v>14287</v>
      </c>
      <c r="G118" s="292"/>
      <c r="H118" s="292"/>
      <c r="I118" s="292"/>
      <c r="J118" s="806"/>
      <c r="K118" s="806"/>
    </row>
    <row r="119" spans="1:11">
      <c r="A119" s="805" t="s">
        <v>815</v>
      </c>
      <c r="B119" s="805" t="s">
        <v>15309</v>
      </c>
      <c r="C119" s="292" t="s">
        <v>15310</v>
      </c>
      <c r="D119" s="293">
        <v>1873</v>
      </c>
      <c r="E119" s="806"/>
      <c r="F119" s="805" t="s">
        <v>15234</v>
      </c>
      <c r="G119" s="292"/>
      <c r="H119" s="292"/>
      <c r="I119" s="292"/>
      <c r="J119" s="806"/>
      <c r="K119" s="806"/>
    </row>
    <row r="120" spans="1:11">
      <c r="A120" s="805" t="s">
        <v>816</v>
      </c>
      <c r="B120" s="805" t="s">
        <v>15311</v>
      </c>
      <c r="C120" s="292" t="s">
        <v>15312</v>
      </c>
      <c r="D120" s="293">
        <v>2262</v>
      </c>
      <c r="E120" s="806"/>
      <c r="F120" s="805" t="s">
        <v>15234</v>
      </c>
      <c r="G120" s="292"/>
      <c r="H120" s="292"/>
      <c r="I120" s="292"/>
      <c r="J120" s="806"/>
      <c r="K120" s="806"/>
    </row>
    <row r="121" spans="1:11">
      <c r="A121" s="805" t="s">
        <v>826</v>
      </c>
      <c r="B121" s="805" t="s">
        <v>15313</v>
      </c>
      <c r="C121" s="292" t="s">
        <v>15314</v>
      </c>
      <c r="D121" s="293">
        <v>1891</v>
      </c>
      <c r="E121" s="806"/>
      <c r="F121" s="805" t="s">
        <v>15234</v>
      </c>
      <c r="G121" s="292"/>
      <c r="H121" s="292"/>
      <c r="I121" s="292"/>
      <c r="J121" s="806"/>
      <c r="K121" s="806"/>
    </row>
    <row r="122" spans="1:11">
      <c r="A122" s="805" t="s">
        <v>827</v>
      </c>
      <c r="B122" s="805" t="s">
        <v>15315</v>
      </c>
      <c r="C122" s="292" t="s">
        <v>15316</v>
      </c>
      <c r="D122" s="293">
        <v>2008</v>
      </c>
      <c r="E122" s="806"/>
      <c r="F122" s="805" t="s">
        <v>15234</v>
      </c>
      <c r="G122" s="292"/>
      <c r="H122" s="292"/>
      <c r="I122" s="292"/>
      <c r="J122" s="806"/>
      <c r="K122" s="806"/>
    </row>
    <row r="123" spans="1:11">
      <c r="A123" s="805" t="s">
        <v>828</v>
      </c>
      <c r="B123" s="805" t="s">
        <v>15317</v>
      </c>
      <c r="C123" s="292" t="s">
        <v>15318</v>
      </c>
      <c r="D123" s="293">
        <v>1927</v>
      </c>
      <c r="E123" s="806"/>
      <c r="F123" s="805" t="s">
        <v>15234</v>
      </c>
      <c r="G123" s="292"/>
      <c r="H123" s="292"/>
      <c r="I123" s="292"/>
      <c r="J123" s="806"/>
      <c r="K123" s="806"/>
    </row>
    <row r="124" spans="1:11">
      <c r="A124" s="805" t="s">
        <v>829</v>
      </c>
      <c r="B124" s="805" t="s">
        <v>15319</v>
      </c>
      <c r="C124" s="292" t="s">
        <v>15320</v>
      </c>
      <c r="D124" s="293">
        <v>1932</v>
      </c>
      <c r="E124" s="806"/>
      <c r="F124" s="805" t="s">
        <v>15234</v>
      </c>
      <c r="G124" s="292"/>
      <c r="H124" s="292"/>
      <c r="I124" s="292"/>
      <c r="J124" s="806"/>
      <c r="K124" s="806"/>
    </row>
    <row r="125" spans="1:11">
      <c r="A125" s="805" t="s">
        <v>830</v>
      </c>
      <c r="B125" s="805" t="s">
        <v>15321</v>
      </c>
      <c r="C125" s="292" t="s">
        <v>15322</v>
      </c>
      <c r="D125" s="293">
        <v>4641</v>
      </c>
      <c r="E125" s="806"/>
      <c r="F125" s="805" t="s">
        <v>15234</v>
      </c>
      <c r="G125" s="292"/>
      <c r="H125" s="292"/>
      <c r="I125" s="292"/>
      <c r="J125" s="806"/>
      <c r="K125" s="806"/>
    </row>
    <row r="126" spans="1:11">
      <c r="A126" s="805" t="s">
        <v>831</v>
      </c>
      <c r="B126" s="805" t="s">
        <v>15323</v>
      </c>
      <c r="C126" s="292" t="s">
        <v>15324</v>
      </c>
      <c r="D126" s="293">
        <v>2533</v>
      </c>
      <c r="E126" s="806"/>
      <c r="F126" s="805" t="s">
        <v>15234</v>
      </c>
      <c r="G126" s="292"/>
      <c r="H126" s="292"/>
      <c r="I126" s="292"/>
      <c r="J126" s="806"/>
      <c r="K126" s="806"/>
    </row>
    <row r="127" spans="1:11">
      <c r="A127" s="805" t="s">
        <v>832</v>
      </c>
      <c r="B127" s="805" t="s">
        <v>2902</v>
      </c>
      <c r="C127" s="292" t="s">
        <v>15325</v>
      </c>
      <c r="D127" s="293">
        <v>1841</v>
      </c>
      <c r="E127" s="806"/>
      <c r="F127" s="805" t="s">
        <v>15234</v>
      </c>
      <c r="G127" s="292"/>
      <c r="H127" s="292"/>
      <c r="I127" s="292"/>
      <c r="J127" s="806"/>
      <c r="K127" s="806"/>
    </row>
    <row r="128" spans="1:11">
      <c r="A128" s="805" t="s">
        <v>833</v>
      </c>
      <c r="B128" s="805" t="s">
        <v>15326</v>
      </c>
      <c r="C128" s="292" t="s">
        <v>15327</v>
      </c>
      <c r="D128" s="293">
        <v>2105</v>
      </c>
      <c r="E128" s="806"/>
      <c r="F128" s="805" t="s">
        <v>15234</v>
      </c>
      <c r="G128" s="292"/>
      <c r="H128" s="292"/>
      <c r="I128" s="292"/>
      <c r="J128" s="806"/>
      <c r="K128" s="806"/>
    </row>
    <row r="129" spans="1:11">
      <c r="A129" s="805" t="s">
        <v>834</v>
      </c>
      <c r="B129" s="805" t="s">
        <v>15328</v>
      </c>
      <c r="C129" s="292" t="s">
        <v>15329</v>
      </c>
      <c r="D129" s="293">
        <v>1799</v>
      </c>
      <c r="E129" s="806"/>
      <c r="F129" s="805" t="s">
        <v>15234</v>
      </c>
      <c r="G129" s="292"/>
      <c r="H129" s="292"/>
      <c r="I129" s="292"/>
      <c r="J129" s="806"/>
      <c r="K129" s="806"/>
    </row>
    <row r="130" spans="1:11">
      <c r="A130" s="805" t="s">
        <v>835</v>
      </c>
      <c r="B130" s="805" t="s">
        <v>15330</v>
      </c>
      <c r="C130" s="292" t="s">
        <v>15331</v>
      </c>
      <c r="D130" s="293">
        <v>2131</v>
      </c>
      <c r="E130" s="806"/>
      <c r="F130" s="805" t="s">
        <v>15234</v>
      </c>
      <c r="G130" s="292"/>
      <c r="H130" s="292"/>
      <c r="I130" s="292"/>
      <c r="J130" s="806"/>
      <c r="K130" s="806"/>
    </row>
    <row r="131" spans="1:11">
      <c r="A131" s="805" t="s">
        <v>836</v>
      </c>
      <c r="B131" s="805" t="s">
        <v>15332</v>
      </c>
      <c r="C131" s="292" t="s">
        <v>15333</v>
      </c>
      <c r="D131" s="295">
        <v>1840</v>
      </c>
      <c r="E131" s="806"/>
      <c r="F131" s="805" t="s">
        <v>15234</v>
      </c>
      <c r="G131" s="292"/>
      <c r="H131" s="292"/>
      <c r="I131" s="292"/>
      <c r="J131" s="806"/>
      <c r="K131" s="806"/>
    </row>
    <row r="132" spans="1:11">
      <c r="A132" s="805" t="s">
        <v>837</v>
      </c>
      <c r="B132" s="805" t="s">
        <v>15334</v>
      </c>
      <c r="C132" s="292" t="s">
        <v>15335</v>
      </c>
      <c r="D132" s="295">
        <v>3742</v>
      </c>
      <c r="E132" s="806"/>
      <c r="F132" s="805" t="s">
        <v>15234</v>
      </c>
      <c r="G132" s="292"/>
      <c r="H132" s="292"/>
      <c r="I132" s="292"/>
      <c r="J132" s="806"/>
      <c r="K132" s="806"/>
    </row>
    <row r="133" spans="1:11">
      <c r="A133" s="805" t="s">
        <v>838</v>
      </c>
      <c r="B133" s="805" t="s">
        <v>15336</v>
      </c>
      <c r="C133" s="292" t="s">
        <v>15337</v>
      </c>
      <c r="D133" s="295">
        <v>2445</v>
      </c>
      <c r="E133" s="806"/>
      <c r="F133" s="805" t="s">
        <v>15234</v>
      </c>
      <c r="G133" s="292"/>
      <c r="H133" s="292"/>
      <c r="I133" s="292"/>
      <c r="J133" s="806"/>
      <c r="K133" s="806"/>
    </row>
    <row r="134" spans="1:11">
      <c r="A134" s="805" t="s">
        <v>840</v>
      </c>
      <c r="B134" s="805" t="s">
        <v>15338</v>
      </c>
      <c r="C134" s="292" t="s">
        <v>15339</v>
      </c>
      <c r="D134" s="295">
        <v>1932</v>
      </c>
      <c r="E134" s="806"/>
      <c r="F134" s="805" t="s">
        <v>15234</v>
      </c>
      <c r="G134" s="292"/>
      <c r="H134" s="292"/>
      <c r="I134" s="292"/>
      <c r="J134" s="806"/>
      <c r="K134" s="806"/>
    </row>
    <row r="135" spans="1:11">
      <c r="A135" s="805" t="s">
        <v>841</v>
      </c>
      <c r="B135" s="805" t="s">
        <v>15340</v>
      </c>
      <c r="C135" s="292" t="s">
        <v>15341</v>
      </c>
      <c r="D135" s="295">
        <v>1969</v>
      </c>
      <c r="E135" s="806"/>
      <c r="F135" s="805" t="s">
        <v>14287</v>
      </c>
      <c r="G135" s="292"/>
      <c r="H135" s="292"/>
      <c r="I135" s="292"/>
      <c r="J135" s="806"/>
      <c r="K135" s="806"/>
    </row>
    <row r="136" spans="1:11">
      <c r="A136" s="805" t="s">
        <v>878</v>
      </c>
      <c r="B136" s="805" t="s">
        <v>13492</v>
      </c>
      <c r="C136" s="292" t="s">
        <v>15342</v>
      </c>
      <c r="D136" s="295">
        <v>1832</v>
      </c>
      <c r="E136" s="806"/>
      <c r="F136" s="805" t="s">
        <v>14287</v>
      </c>
      <c r="G136" s="292"/>
      <c r="H136" s="292"/>
      <c r="I136" s="292"/>
      <c r="J136" s="806"/>
      <c r="K136" s="806"/>
    </row>
    <row r="137" spans="1:11">
      <c r="A137" s="805" t="s">
        <v>879</v>
      </c>
      <c r="B137" s="805" t="s">
        <v>15343</v>
      </c>
      <c r="C137" s="292" t="s">
        <v>15344</v>
      </c>
      <c r="D137" s="295">
        <v>4083</v>
      </c>
      <c r="E137" s="806"/>
      <c r="F137" s="805" t="s">
        <v>15234</v>
      </c>
      <c r="G137" s="292"/>
      <c r="H137" s="292"/>
      <c r="I137" s="292"/>
      <c r="J137" s="806"/>
      <c r="K137" s="806"/>
    </row>
    <row r="138" spans="1:11">
      <c r="A138" s="805" t="s">
        <v>880</v>
      </c>
      <c r="B138" s="805" t="s">
        <v>15345</v>
      </c>
      <c r="C138" s="292" t="s">
        <v>15346</v>
      </c>
      <c r="D138" s="295">
        <v>2267</v>
      </c>
      <c r="E138" s="806"/>
      <c r="F138" s="805" t="s">
        <v>15234</v>
      </c>
      <c r="G138" s="292"/>
      <c r="H138" s="292"/>
      <c r="I138" s="292"/>
      <c r="J138" s="806"/>
      <c r="K138" s="806"/>
    </row>
    <row r="139" spans="1:11">
      <c r="A139" s="805" t="s">
        <v>721</v>
      </c>
      <c r="B139" s="805" t="s">
        <v>15347</v>
      </c>
      <c r="C139" s="292" t="s">
        <v>15348</v>
      </c>
      <c r="D139" s="295">
        <v>2360</v>
      </c>
      <c r="E139" s="806"/>
      <c r="F139" s="805" t="s">
        <v>15234</v>
      </c>
      <c r="G139" s="292"/>
      <c r="H139" s="292"/>
      <c r="I139" s="292"/>
      <c r="J139" s="806"/>
      <c r="K139" s="806"/>
    </row>
    <row r="140" spans="1:11">
      <c r="A140" s="805" t="s">
        <v>722</v>
      </c>
      <c r="B140" s="805" t="s">
        <v>15349</v>
      </c>
      <c r="C140" s="292" t="s">
        <v>15350</v>
      </c>
      <c r="D140" s="295">
        <v>1900</v>
      </c>
      <c r="E140" s="806"/>
      <c r="F140" s="805" t="s">
        <v>15234</v>
      </c>
      <c r="G140" s="292"/>
      <c r="H140" s="292"/>
      <c r="I140" s="292"/>
      <c r="J140" s="806"/>
      <c r="K140" s="806"/>
    </row>
    <row r="141" spans="1:11">
      <c r="A141" s="805" t="s">
        <v>723</v>
      </c>
      <c r="B141" s="805" t="s">
        <v>645</v>
      </c>
      <c r="C141" s="292" t="s">
        <v>15351</v>
      </c>
      <c r="D141" s="295">
        <v>3599</v>
      </c>
      <c r="E141" s="806"/>
      <c r="F141" s="805" t="s">
        <v>15234</v>
      </c>
      <c r="G141" s="292"/>
      <c r="H141" s="292"/>
      <c r="I141" s="292"/>
      <c r="J141" s="806"/>
      <c r="K141" s="806"/>
    </row>
    <row r="142" spans="1:11">
      <c r="A142" s="805" t="s">
        <v>733</v>
      </c>
      <c r="B142" s="805" t="s">
        <v>15352</v>
      </c>
      <c r="C142" s="292" t="s">
        <v>15353</v>
      </c>
      <c r="D142" s="295">
        <v>1744</v>
      </c>
      <c r="E142" s="806"/>
      <c r="F142" s="805" t="s">
        <v>14287</v>
      </c>
      <c r="G142" s="292"/>
      <c r="H142" s="292"/>
      <c r="I142" s="292"/>
      <c r="J142" s="806"/>
      <c r="K142" s="806"/>
    </row>
    <row r="143" spans="1:11">
      <c r="A143" s="805" t="s">
        <v>734</v>
      </c>
      <c r="B143" s="805" t="s">
        <v>15354</v>
      </c>
      <c r="C143" s="292" t="s">
        <v>15355</v>
      </c>
      <c r="D143" s="295">
        <v>1898</v>
      </c>
      <c r="E143" s="806"/>
      <c r="F143" s="805" t="s">
        <v>14287</v>
      </c>
      <c r="G143" s="292"/>
      <c r="H143" s="292"/>
      <c r="I143" s="292"/>
      <c r="J143" s="806"/>
      <c r="K143" s="806"/>
    </row>
    <row r="144" spans="1:11">
      <c r="A144" s="805" t="s">
        <v>735</v>
      </c>
      <c r="B144" s="805" t="s">
        <v>5586</v>
      </c>
      <c r="C144" s="292" t="s">
        <v>15356</v>
      </c>
      <c r="D144" s="295">
        <v>3521</v>
      </c>
      <c r="E144" s="806"/>
      <c r="F144" s="805" t="s">
        <v>15234</v>
      </c>
      <c r="G144" s="292"/>
      <c r="H144" s="292"/>
      <c r="I144" s="292"/>
      <c r="J144" s="806"/>
      <c r="K144" s="806"/>
    </row>
    <row r="145" spans="1:11">
      <c r="A145" s="805" t="s">
        <v>736</v>
      </c>
      <c r="B145" s="805" t="s">
        <v>15357</v>
      </c>
      <c r="C145" s="292" t="s">
        <v>15358</v>
      </c>
      <c r="D145" s="295">
        <v>2338</v>
      </c>
      <c r="E145" s="806"/>
      <c r="F145" s="805" t="s">
        <v>15234</v>
      </c>
      <c r="G145" s="292"/>
      <c r="H145" s="292"/>
      <c r="I145" s="292"/>
      <c r="J145" s="806"/>
      <c r="K145" s="806"/>
    </row>
    <row r="146" spans="1:11">
      <c r="A146" s="805" t="s">
        <v>931</v>
      </c>
      <c r="B146" s="805" t="s">
        <v>15359</v>
      </c>
      <c r="C146" s="292" t="s">
        <v>15360</v>
      </c>
      <c r="D146" s="295">
        <v>3996</v>
      </c>
      <c r="E146" s="806"/>
      <c r="F146" s="805" t="s">
        <v>14287</v>
      </c>
      <c r="G146" s="292"/>
      <c r="H146" s="292"/>
      <c r="I146" s="292"/>
      <c r="J146" s="806"/>
      <c r="K146" s="806"/>
    </row>
    <row r="147" spans="1:11">
      <c r="A147" s="805" t="s">
        <v>932</v>
      </c>
      <c r="B147" s="805" t="s">
        <v>15361</v>
      </c>
      <c r="C147" s="292" t="s">
        <v>15362</v>
      </c>
      <c r="D147" s="295">
        <v>2195</v>
      </c>
      <c r="E147" s="806"/>
      <c r="F147" s="805" t="s">
        <v>15234</v>
      </c>
      <c r="G147" s="292"/>
      <c r="H147" s="292"/>
      <c r="I147" s="292"/>
      <c r="J147" s="806"/>
      <c r="K147" s="806"/>
    </row>
    <row r="148" spans="1:11">
      <c r="A148" s="805" t="s">
        <v>933</v>
      </c>
      <c r="B148" s="805" t="s">
        <v>15363</v>
      </c>
      <c r="C148" s="292" t="s">
        <v>15364</v>
      </c>
      <c r="D148" s="295">
        <v>1891</v>
      </c>
      <c r="E148" s="806"/>
      <c r="F148" s="805" t="s">
        <v>14287</v>
      </c>
      <c r="G148" s="292"/>
      <c r="H148" s="292"/>
      <c r="I148" s="292"/>
      <c r="J148" s="806"/>
      <c r="K148" s="806"/>
    </row>
    <row r="149" spans="1:11">
      <c r="A149" s="805" t="s">
        <v>934</v>
      </c>
      <c r="B149" s="805" t="s">
        <v>15365</v>
      </c>
      <c r="C149" s="292" t="s">
        <v>15366</v>
      </c>
      <c r="D149" s="295">
        <v>4177</v>
      </c>
      <c r="E149" s="806"/>
      <c r="F149" s="805" t="s">
        <v>15234</v>
      </c>
      <c r="G149" s="292"/>
      <c r="H149" s="292"/>
      <c r="I149" s="292"/>
      <c r="J149" s="806"/>
      <c r="K149" s="806"/>
    </row>
    <row r="150" spans="1:11">
      <c r="A150" s="805" t="s">
        <v>376</v>
      </c>
      <c r="B150" s="805" t="s">
        <v>15367</v>
      </c>
      <c r="C150" s="292" t="s">
        <v>15368</v>
      </c>
      <c r="D150" s="295">
        <v>1803</v>
      </c>
      <c r="E150" s="806"/>
      <c r="F150" s="805" t="s">
        <v>15234</v>
      </c>
      <c r="G150" s="292"/>
      <c r="H150" s="292"/>
      <c r="I150" s="292"/>
      <c r="J150" s="806"/>
      <c r="K150" s="806"/>
    </row>
    <row r="151" spans="1:11">
      <c r="A151" s="806"/>
      <c r="B151" s="806"/>
      <c r="C151" s="806"/>
      <c r="D151" s="809"/>
      <c r="E151" s="806"/>
      <c r="F151" s="806"/>
      <c r="J151" s="806"/>
      <c r="K151" s="806"/>
    </row>
    <row r="152" spans="1:11">
      <c r="A152" s="805" t="s">
        <v>15234</v>
      </c>
      <c r="C152" s="806"/>
      <c r="D152" s="809">
        <f>D116+D117+SUM(D119:D134)+SUM(D137:D141)+D144+D145+D147+D149+D150</f>
        <v>71303</v>
      </c>
      <c r="E152" s="806"/>
      <c r="F152" s="806"/>
      <c r="J152" s="806"/>
      <c r="K152" s="806"/>
    </row>
    <row r="153" spans="1:11">
      <c r="A153" s="805" t="s">
        <v>14470</v>
      </c>
      <c r="C153" s="806"/>
      <c r="D153" s="809">
        <f>D118+D135+D136+D142+D143+D146+D148</f>
        <v>15307</v>
      </c>
      <c r="E153" s="806"/>
      <c r="F153" s="806"/>
      <c r="J153" s="806"/>
      <c r="K153" s="806"/>
    </row>
    <row r="154" spans="1:11">
      <c r="A154" s="805"/>
      <c r="C154" s="806"/>
      <c r="D154" s="809"/>
      <c r="E154" s="806"/>
      <c r="F154" s="806"/>
      <c r="J154" s="806"/>
      <c r="K154" s="806"/>
    </row>
    <row r="155" spans="1:11">
      <c r="A155" s="805" t="s">
        <v>15369</v>
      </c>
      <c r="C155" s="806"/>
      <c r="D155" s="809"/>
      <c r="E155" s="806"/>
      <c r="F155" s="806"/>
      <c r="J155" s="806"/>
      <c r="K155" s="806"/>
    </row>
    <row r="156" spans="1:11">
      <c r="A156" s="805"/>
      <c r="B156" s="805"/>
      <c r="C156" s="806"/>
      <c r="D156" s="820"/>
      <c r="E156" s="806"/>
      <c r="F156" s="806"/>
      <c r="J156" s="806"/>
      <c r="K156" s="806"/>
    </row>
    <row r="157" spans="1:11">
      <c r="A157" s="805"/>
      <c r="B157" s="805"/>
      <c r="C157" s="806"/>
      <c r="D157" s="820"/>
      <c r="E157" s="806"/>
      <c r="F157" s="806"/>
      <c r="J157" s="806"/>
      <c r="K157" s="806"/>
    </row>
    <row r="158" spans="1:11">
      <c r="A158" s="806"/>
      <c r="B158" s="806"/>
      <c r="C158" s="806"/>
      <c r="D158" s="10" t="s">
        <v>285</v>
      </c>
      <c r="E158" s="16"/>
      <c r="F158" s="5" t="s">
        <v>4116</v>
      </c>
      <c r="J158" s="806"/>
      <c r="K158" s="806"/>
    </row>
    <row r="159" spans="1:11">
      <c r="A159" s="806"/>
      <c r="B159" s="806"/>
      <c r="C159" s="806"/>
      <c r="D159" s="15">
        <v>2016</v>
      </c>
      <c r="E159" s="806"/>
      <c r="F159" s="18" t="s">
        <v>286</v>
      </c>
      <c r="J159" s="806"/>
      <c r="K159" s="806"/>
    </row>
    <row r="160" spans="1:11">
      <c r="A160" s="805" t="s">
        <v>15370</v>
      </c>
      <c r="C160" s="806"/>
      <c r="D160" s="809">
        <f>SUM(D161:D181)</f>
        <v>100437</v>
      </c>
      <c r="E160" s="806"/>
      <c r="F160" s="806"/>
      <c r="J160" s="806"/>
      <c r="K160" s="806"/>
    </row>
    <row r="161" spans="1:11">
      <c r="A161" s="805" t="s">
        <v>812</v>
      </c>
      <c r="B161" s="805" t="s">
        <v>5408</v>
      </c>
      <c r="C161" s="292" t="s">
        <v>15371</v>
      </c>
      <c r="D161" s="293">
        <v>5994</v>
      </c>
      <c r="E161" s="806"/>
      <c r="F161" s="805" t="s">
        <v>15235</v>
      </c>
      <c r="G161" s="292"/>
      <c r="H161" s="292"/>
      <c r="I161" s="292"/>
      <c r="J161" s="806"/>
      <c r="K161" s="806"/>
    </row>
    <row r="162" spans="1:11">
      <c r="A162" s="805" t="s">
        <v>813</v>
      </c>
      <c r="B162" s="805" t="s">
        <v>15372</v>
      </c>
      <c r="C162" s="292" t="s">
        <v>15373</v>
      </c>
      <c r="D162" s="295">
        <v>5901</v>
      </c>
      <c r="E162" s="806"/>
      <c r="F162" s="806" t="s">
        <v>15249</v>
      </c>
      <c r="G162" s="292"/>
      <c r="H162" s="292"/>
      <c r="I162" s="292"/>
      <c r="J162" s="806"/>
      <c r="K162" s="806"/>
    </row>
    <row r="163" spans="1:11">
      <c r="A163" s="805" t="s">
        <v>814</v>
      </c>
      <c r="B163" s="805" t="s">
        <v>15374</v>
      </c>
      <c r="C163" s="292" t="s">
        <v>15375</v>
      </c>
      <c r="D163" s="293">
        <v>4034</v>
      </c>
      <c r="E163" s="806"/>
      <c r="F163" s="805" t="s">
        <v>15235</v>
      </c>
      <c r="G163" s="292"/>
      <c r="H163" s="292"/>
      <c r="I163" s="292"/>
      <c r="J163" s="806"/>
      <c r="K163" s="806"/>
    </row>
    <row r="164" spans="1:11">
      <c r="A164" s="805" t="s">
        <v>815</v>
      </c>
      <c r="B164" s="805" t="s">
        <v>15376</v>
      </c>
      <c r="C164" s="292" t="s">
        <v>15377</v>
      </c>
      <c r="D164" s="293">
        <v>5240</v>
      </c>
      <c r="E164" s="806"/>
      <c r="F164" s="805" t="s">
        <v>15235</v>
      </c>
      <c r="G164" s="292"/>
      <c r="H164" s="292"/>
      <c r="I164" s="292"/>
      <c r="J164" s="806"/>
      <c r="K164" s="806"/>
    </row>
    <row r="165" spans="1:11">
      <c r="A165" s="805" t="s">
        <v>816</v>
      </c>
      <c r="B165" s="805" t="s">
        <v>15378</v>
      </c>
      <c r="C165" s="292" t="s">
        <v>15379</v>
      </c>
      <c r="D165" s="293">
        <v>5569</v>
      </c>
      <c r="E165" s="806"/>
      <c r="F165" s="806" t="s">
        <v>15249</v>
      </c>
      <c r="G165" s="292"/>
      <c r="H165" s="292"/>
      <c r="I165" s="292"/>
      <c r="J165" s="806"/>
      <c r="K165" s="806"/>
    </row>
    <row r="166" spans="1:11">
      <c r="A166" s="805" t="s">
        <v>826</v>
      </c>
      <c r="B166" s="805" t="s">
        <v>15380</v>
      </c>
      <c r="C166" s="292" t="s">
        <v>15381</v>
      </c>
      <c r="D166" s="293">
        <v>8177</v>
      </c>
      <c r="E166" s="806"/>
      <c r="F166" s="806" t="s">
        <v>15249</v>
      </c>
      <c r="G166" s="292"/>
      <c r="H166" s="292"/>
      <c r="I166" s="292"/>
      <c r="J166" s="806"/>
      <c r="K166" s="806"/>
    </row>
    <row r="167" spans="1:11">
      <c r="A167" s="805" t="s">
        <v>827</v>
      </c>
      <c r="B167" s="808" t="s">
        <v>4882</v>
      </c>
      <c r="C167" s="292" t="s">
        <v>15382</v>
      </c>
      <c r="D167" s="295">
        <v>3038</v>
      </c>
      <c r="F167" s="806" t="s">
        <v>15249</v>
      </c>
      <c r="G167" s="292"/>
      <c r="H167" s="292"/>
      <c r="I167" s="292"/>
      <c r="J167" s="806"/>
      <c r="K167" s="806"/>
    </row>
    <row r="168" spans="1:11">
      <c r="A168" s="805" t="s">
        <v>828</v>
      </c>
      <c r="B168" s="805" t="s">
        <v>15383</v>
      </c>
      <c r="C168" s="292" t="s">
        <v>15384</v>
      </c>
      <c r="D168" s="295">
        <v>6145</v>
      </c>
      <c r="E168" s="806"/>
      <c r="F168" s="806" t="s">
        <v>15249</v>
      </c>
      <c r="G168" s="292"/>
      <c r="H168" s="292"/>
      <c r="I168" s="292"/>
      <c r="J168" s="806"/>
      <c r="K168" s="806"/>
    </row>
    <row r="169" spans="1:11">
      <c r="A169" s="805" t="s">
        <v>829</v>
      </c>
      <c r="B169" s="805" t="s">
        <v>15385</v>
      </c>
      <c r="C169" s="292" t="s">
        <v>15386</v>
      </c>
      <c r="D169" s="295">
        <v>9271</v>
      </c>
      <c r="E169" s="806"/>
      <c r="F169" s="806" t="s">
        <v>15249</v>
      </c>
      <c r="G169" s="292"/>
      <c r="H169" s="292"/>
      <c r="I169" s="292"/>
      <c r="J169" s="806"/>
      <c r="K169" s="806"/>
    </row>
    <row r="170" spans="1:11">
      <c r="A170" s="805" t="s">
        <v>830</v>
      </c>
      <c r="B170" s="805" t="s">
        <v>15387</v>
      </c>
      <c r="C170" s="292" t="s">
        <v>15388</v>
      </c>
      <c r="D170" s="293">
        <v>3041</v>
      </c>
      <c r="E170" s="806"/>
      <c r="F170" s="805" t="s">
        <v>15235</v>
      </c>
      <c r="G170" s="292"/>
      <c r="H170" s="292"/>
      <c r="I170" s="292"/>
      <c r="J170" s="806"/>
      <c r="K170" s="806"/>
    </row>
    <row r="171" spans="1:11">
      <c r="A171" s="805" t="s">
        <v>831</v>
      </c>
      <c r="B171" s="805" t="s">
        <v>15389</v>
      </c>
      <c r="C171" s="292" t="s">
        <v>15390</v>
      </c>
      <c r="D171" s="293">
        <v>3025</v>
      </c>
      <c r="E171" s="806"/>
      <c r="F171" s="805" t="s">
        <v>15235</v>
      </c>
      <c r="G171" s="292"/>
      <c r="H171" s="292"/>
      <c r="I171" s="292"/>
      <c r="J171" s="806"/>
      <c r="K171" s="806"/>
    </row>
    <row r="172" spans="1:11">
      <c r="A172" s="805" t="s">
        <v>832</v>
      </c>
      <c r="B172" s="805" t="s">
        <v>6233</v>
      </c>
      <c r="C172" s="292" t="s">
        <v>15391</v>
      </c>
      <c r="D172" s="293">
        <v>3120</v>
      </c>
      <c r="E172" s="806"/>
      <c r="F172" s="805" t="s">
        <v>15235</v>
      </c>
      <c r="G172" s="292"/>
      <c r="H172" s="292"/>
      <c r="I172" s="292"/>
      <c r="J172" s="806"/>
      <c r="K172" s="806"/>
    </row>
    <row r="173" spans="1:11">
      <c r="A173" s="805" t="s">
        <v>833</v>
      </c>
      <c r="B173" s="805" t="s">
        <v>15392</v>
      </c>
      <c r="C173" s="292" t="s">
        <v>15393</v>
      </c>
      <c r="D173" s="295">
        <v>2951</v>
      </c>
      <c r="E173" s="806"/>
      <c r="F173" s="806" t="s">
        <v>15249</v>
      </c>
      <c r="G173" s="292"/>
      <c r="H173" s="292"/>
      <c r="I173" s="292"/>
      <c r="J173" s="806"/>
      <c r="K173" s="806"/>
    </row>
    <row r="174" spans="1:11">
      <c r="A174" s="805" t="s">
        <v>834</v>
      </c>
      <c r="B174" s="805" t="s">
        <v>15394</v>
      </c>
      <c r="C174" s="292" t="s">
        <v>15395</v>
      </c>
      <c r="D174" s="293">
        <v>6019</v>
      </c>
      <c r="E174" s="806"/>
      <c r="F174" s="806" t="s">
        <v>15249</v>
      </c>
      <c r="G174" s="292"/>
      <c r="H174" s="292"/>
      <c r="I174" s="292"/>
      <c r="J174" s="806"/>
      <c r="K174" s="806"/>
    </row>
    <row r="175" spans="1:11">
      <c r="A175" s="805" t="s">
        <v>835</v>
      </c>
      <c r="B175" s="805" t="s">
        <v>15396</v>
      </c>
      <c r="C175" s="292" t="s">
        <v>15397</v>
      </c>
      <c r="D175" s="293">
        <v>4381</v>
      </c>
      <c r="E175" s="806"/>
      <c r="F175" s="805" t="s">
        <v>15235</v>
      </c>
      <c r="G175" s="292"/>
      <c r="H175" s="292"/>
      <c r="I175" s="292"/>
      <c r="J175" s="806"/>
      <c r="K175" s="806"/>
    </row>
    <row r="176" spans="1:11">
      <c r="A176" s="805" t="s">
        <v>836</v>
      </c>
      <c r="B176" s="805" t="s">
        <v>15398</v>
      </c>
      <c r="C176" s="292" t="s">
        <v>15399</v>
      </c>
      <c r="D176" s="293">
        <v>5634</v>
      </c>
      <c r="E176" s="806"/>
      <c r="F176" s="805" t="s">
        <v>15235</v>
      </c>
      <c r="G176" s="292"/>
      <c r="H176" s="292"/>
      <c r="I176" s="292"/>
      <c r="J176" s="806"/>
      <c r="K176" s="806"/>
    </row>
    <row r="177" spans="1:11">
      <c r="A177" s="805" t="s">
        <v>837</v>
      </c>
      <c r="B177" s="805" t="s">
        <v>15400</v>
      </c>
      <c r="C177" s="292" t="s">
        <v>15401</v>
      </c>
      <c r="D177" s="293">
        <v>3177</v>
      </c>
      <c r="E177" s="806"/>
      <c r="F177" s="806" t="s">
        <v>15249</v>
      </c>
      <c r="G177" s="292"/>
      <c r="H177" s="292"/>
      <c r="I177" s="292"/>
      <c r="J177" s="806"/>
      <c r="K177" s="806"/>
    </row>
    <row r="178" spans="1:11">
      <c r="A178" s="805" t="s">
        <v>838</v>
      </c>
      <c r="B178" s="805" t="s">
        <v>15402</v>
      </c>
      <c r="C178" s="292" t="s">
        <v>15403</v>
      </c>
      <c r="D178" s="293">
        <v>2792</v>
      </c>
      <c r="E178" s="806"/>
      <c r="F178" s="806" t="s">
        <v>15249</v>
      </c>
      <c r="G178" s="292"/>
      <c r="H178" s="292"/>
      <c r="I178" s="292"/>
      <c r="J178" s="806"/>
      <c r="K178" s="806"/>
    </row>
    <row r="179" spans="1:11">
      <c r="A179" s="805" t="s">
        <v>840</v>
      </c>
      <c r="B179" s="805" t="s">
        <v>15404</v>
      </c>
      <c r="C179" s="292" t="s">
        <v>15405</v>
      </c>
      <c r="D179" s="295">
        <v>3146</v>
      </c>
      <c r="E179" s="806"/>
      <c r="F179" s="806" t="s">
        <v>15249</v>
      </c>
      <c r="G179" s="292"/>
      <c r="H179" s="292"/>
      <c r="I179" s="292"/>
      <c r="J179" s="806"/>
      <c r="K179" s="806"/>
    </row>
    <row r="180" spans="1:11">
      <c r="A180" s="805" t="s">
        <v>841</v>
      </c>
      <c r="B180" s="805" t="s">
        <v>543</v>
      </c>
      <c r="C180" s="292" t="s">
        <v>15406</v>
      </c>
      <c r="D180" s="293">
        <v>4476</v>
      </c>
      <c r="E180" s="806"/>
      <c r="F180" s="805" t="s">
        <v>15235</v>
      </c>
      <c r="G180" s="292"/>
      <c r="H180" s="292"/>
      <c r="I180" s="292"/>
      <c r="J180" s="806"/>
      <c r="K180" s="806"/>
    </row>
    <row r="181" spans="1:11">
      <c r="A181" s="805" t="s">
        <v>878</v>
      </c>
      <c r="B181" s="805" t="s">
        <v>15407</v>
      </c>
      <c r="C181" s="292" t="s">
        <v>15408</v>
      </c>
      <c r="D181" s="293">
        <v>5306</v>
      </c>
      <c r="E181" s="806"/>
      <c r="F181" s="805" t="s">
        <v>15235</v>
      </c>
      <c r="G181" s="292"/>
      <c r="H181" s="292"/>
      <c r="I181" s="292"/>
      <c r="J181" s="806"/>
      <c r="K181" s="806"/>
    </row>
    <row r="182" spans="1:11">
      <c r="A182" s="806"/>
      <c r="B182" s="806"/>
      <c r="C182" s="806"/>
      <c r="D182" s="814"/>
      <c r="E182" s="806"/>
      <c r="F182" s="806"/>
      <c r="J182" s="806"/>
      <c r="K182" s="806"/>
    </row>
    <row r="183" spans="1:11">
      <c r="A183" s="805" t="s">
        <v>15409</v>
      </c>
      <c r="C183" s="806"/>
      <c r="D183" s="809">
        <f>D161+D163+D164+SUM(D170:D172)+D175+D176+D180+D181</f>
        <v>44251</v>
      </c>
      <c r="E183" s="806"/>
      <c r="F183" s="806"/>
      <c r="J183" s="806"/>
      <c r="K183" s="806"/>
    </row>
    <row r="184" spans="1:11">
      <c r="A184" s="806" t="s">
        <v>15410</v>
      </c>
      <c r="C184" s="806"/>
      <c r="D184" s="809">
        <f>D162+SUM(D165:D169)+D173+D174+SUM(D177:D179)</f>
        <v>56186</v>
      </c>
      <c r="E184" s="806"/>
      <c r="F184" s="806"/>
      <c r="J184" s="806"/>
      <c r="K184" s="806"/>
    </row>
    <row r="185" spans="1:11">
      <c r="A185" s="805"/>
      <c r="C185" s="806"/>
      <c r="D185" s="809"/>
      <c r="E185" s="806"/>
      <c r="F185" s="806"/>
      <c r="J185" s="806"/>
      <c r="K185" s="806"/>
    </row>
    <row r="186" spans="1:11">
      <c r="A186" s="805" t="s">
        <v>15411</v>
      </c>
      <c r="C186" s="806"/>
      <c r="D186" s="809"/>
      <c r="E186" s="806"/>
      <c r="F186" s="806"/>
      <c r="J186" s="806"/>
      <c r="K186" s="806"/>
    </row>
    <row r="187" spans="1:11">
      <c r="A187" s="805"/>
      <c r="B187" s="805"/>
      <c r="C187" s="806"/>
      <c r="D187" s="820"/>
      <c r="E187" s="806"/>
      <c r="F187" s="806"/>
      <c r="J187" s="806"/>
      <c r="K187" s="806"/>
    </row>
    <row r="188" spans="1:11">
      <c r="A188" s="805"/>
      <c r="B188" s="805"/>
      <c r="C188" s="806"/>
      <c r="D188" s="820"/>
      <c r="E188" s="806"/>
      <c r="F188" s="806"/>
      <c r="J188" s="806"/>
      <c r="K188" s="806"/>
    </row>
    <row r="189" spans="1:11">
      <c r="A189" s="806"/>
      <c r="B189" s="806"/>
      <c r="C189" s="806"/>
      <c r="D189" s="10" t="s">
        <v>285</v>
      </c>
      <c r="E189" s="16"/>
      <c r="F189" s="5" t="s">
        <v>4116</v>
      </c>
      <c r="J189" s="806"/>
      <c r="K189" s="806"/>
    </row>
    <row r="190" spans="1:11">
      <c r="A190" s="806"/>
      <c r="B190" s="806"/>
      <c r="C190" s="806"/>
      <c r="D190" s="15">
        <v>2016</v>
      </c>
      <c r="E190" s="806"/>
      <c r="F190" s="18" t="s">
        <v>286</v>
      </c>
      <c r="J190" s="806"/>
      <c r="K190" s="806"/>
    </row>
    <row r="191" spans="1:11">
      <c r="A191" s="805" t="s">
        <v>15412</v>
      </c>
      <c r="C191" s="806"/>
      <c r="D191" s="809">
        <f t="shared" ref="D191" si="37">SUM(D192:D208)</f>
        <v>72180</v>
      </c>
      <c r="E191" s="806"/>
      <c r="F191" s="806"/>
      <c r="J191" s="806"/>
      <c r="K191" s="806"/>
    </row>
    <row r="192" spans="1:11">
      <c r="A192" s="805" t="s">
        <v>812</v>
      </c>
      <c r="B192" s="805" t="s">
        <v>15413</v>
      </c>
      <c r="C192" s="292" t="s">
        <v>15414</v>
      </c>
      <c r="D192" s="316">
        <v>4165</v>
      </c>
      <c r="E192" s="806"/>
      <c r="F192" s="805" t="s">
        <v>15242</v>
      </c>
      <c r="G192" s="292"/>
      <c r="H192" s="292"/>
      <c r="I192" s="292"/>
      <c r="J192" s="806"/>
      <c r="K192" s="806"/>
    </row>
    <row r="193" spans="1:11">
      <c r="A193" s="805" t="s">
        <v>813</v>
      </c>
      <c r="B193" s="805" t="s">
        <v>9146</v>
      </c>
      <c r="C193" s="292" t="s">
        <v>15415</v>
      </c>
      <c r="D193" s="316">
        <v>4903</v>
      </c>
      <c r="E193" s="806"/>
      <c r="F193" s="805" t="s">
        <v>15242</v>
      </c>
      <c r="G193" s="292"/>
      <c r="H193" s="292"/>
      <c r="I193" s="292"/>
      <c r="J193" s="806"/>
      <c r="K193" s="806"/>
    </row>
    <row r="194" spans="1:11">
      <c r="A194" s="805" t="s">
        <v>814</v>
      </c>
      <c r="B194" s="805" t="s">
        <v>883</v>
      </c>
      <c r="C194" s="292" t="s">
        <v>15416</v>
      </c>
      <c r="D194" s="316">
        <v>1833</v>
      </c>
      <c r="E194" s="806"/>
      <c r="F194" s="805" t="s">
        <v>15242</v>
      </c>
      <c r="G194" s="292"/>
      <c r="H194" s="292"/>
      <c r="I194" s="292"/>
      <c r="J194" s="806"/>
      <c r="K194" s="806"/>
    </row>
    <row r="195" spans="1:11">
      <c r="A195" s="805" t="s">
        <v>815</v>
      </c>
      <c r="B195" s="805" t="s">
        <v>15417</v>
      </c>
      <c r="C195" s="292" t="s">
        <v>15418</v>
      </c>
      <c r="D195" s="316">
        <v>5042</v>
      </c>
      <c r="E195" s="806"/>
      <c r="F195" s="805" t="s">
        <v>15242</v>
      </c>
      <c r="G195" s="292"/>
      <c r="H195" s="292"/>
      <c r="I195" s="292"/>
      <c r="J195" s="806"/>
      <c r="K195" s="806"/>
    </row>
    <row r="196" spans="1:11">
      <c r="A196" s="805" t="s">
        <v>816</v>
      </c>
      <c r="B196" s="805" t="s">
        <v>2851</v>
      </c>
      <c r="C196" s="292" t="s">
        <v>15419</v>
      </c>
      <c r="D196" s="316">
        <v>5021</v>
      </c>
      <c r="E196" s="806"/>
      <c r="F196" s="805" t="s">
        <v>15242</v>
      </c>
      <c r="G196" s="292"/>
      <c r="H196" s="292"/>
      <c r="I196" s="292"/>
      <c r="J196" s="806"/>
      <c r="K196" s="806"/>
    </row>
    <row r="197" spans="1:11">
      <c r="A197" s="805" t="s">
        <v>826</v>
      </c>
      <c r="B197" s="805" t="s">
        <v>15420</v>
      </c>
      <c r="C197" s="292" t="s">
        <v>15421</v>
      </c>
      <c r="D197" s="316">
        <v>3642</v>
      </c>
      <c r="E197" s="806"/>
      <c r="F197" s="805" t="s">
        <v>15242</v>
      </c>
      <c r="G197" s="292"/>
      <c r="H197" s="292"/>
      <c r="I197" s="292"/>
      <c r="J197" s="806"/>
      <c r="K197" s="806"/>
    </row>
    <row r="198" spans="1:11">
      <c r="A198" s="805" t="s">
        <v>827</v>
      </c>
      <c r="B198" s="805" t="s">
        <v>15422</v>
      </c>
      <c r="C198" s="292" t="s">
        <v>15423</v>
      </c>
      <c r="D198" s="316">
        <v>5617</v>
      </c>
      <c r="E198" s="806"/>
      <c r="F198" s="805" t="s">
        <v>15242</v>
      </c>
      <c r="G198" s="292"/>
      <c r="H198" s="292"/>
      <c r="I198" s="292"/>
      <c r="J198" s="806"/>
      <c r="K198" s="806"/>
    </row>
    <row r="199" spans="1:11">
      <c r="A199" s="805" t="s">
        <v>828</v>
      </c>
      <c r="B199" s="805" t="s">
        <v>15424</v>
      </c>
      <c r="C199" s="292" t="s">
        <v>15425</v>
      </c>
      <c r="D199" s="316">
        <v>3106</v>
      </c>
      <c r="E199" s="806"/>
      <c r="F199" s="805" t="s">
        <v>15242</v>
      </c>
      <c r="G199" s="292"/>
      <c r="H199" s="292"/>
      <c r="I199" s="292"/>
      <c r="J199" s="806"/>
      <c r="K199" s="806"/>
    </row>
    <row r="200" spans="1:11">
      <c r="A200" s="805" t="s">
        <v>829</v>
      </c>
      <c r="B200" s="805" t="s">
        <v>15426</v>
      </c>
      <c r="C200" s="292" t="s">
        <v>15427</v>
      </c>
      <c r="D200" s="316">
        <v>5639</v>
      </c>
      <c r="E200" s="806"/>
      <c r="F200" s="805" t="s">
        <v>15242</v>
      </c>
      <c r="G200" s="292"/>
      <c r="H200" s="292"/>
      <c r="I200" s="292"/>
      <c r="J200" s="806"/>
      <c r="K200" s="806"/>
    </row>
    <row r="201" spans="1:11">
      <c r="A201" s="805" t="s">
        <v>830</v>
      </c>
      <c r="B201" s="805" t="s">
        <v>1004</v>
      </c>
      <c r="C201" s="292" t="s">
        <v>15428</v>
      </c>
      <c r="D201" s="316">
        <v>5112</v>
      </c>
      <c r="E201" s="806"/>
      <c r="F201" s="805" t="s">
        <v>15242</v>
      </c>
      <c r="G201" s="292"/>
      <c r="H201" s="292"/>
      <c r="I201" s="292"/>
      <c r="J201" s="806"/>
      <c r="K201" s="806"/>
    </row>
    <row r="202" spans="1:11">
      <c r="A202" s="805" t="s">
        <v>831</v>
      </c>
      <c r="B202" s="805" t="s">
        <v>15429</v>
      </c>
      <c r="C202" s="292" t="s">
        <v>15430</v>
      </c>
      <c r="D202" s="316">
        <v>4312</v>
      </c>
      <c r="E202" s="806"/>
      <c r="F202" s="805" t="s">
        <v>15242</v>
      </c>
      <c r="G202" s="292"/>
      <c r="H202" s="292"/>
      <c r="I202" s="292"/>
      <c r="J202" s="806"/>
      <c r="K202" s="806"/>
    </row>
    <row r="203" spans="1:11">
      <c r="A203" s="805" t="s">
        <v>832</v>
      </c>
      <c r="B203" s="805" t="s">
        <v>15431</v>
      </c>
      <c r="C203" s="292" t="s">
        <v>15432</v>
      </c>
      <c r="D203" s="316">
        <v>4803</v>
      </c>
      <c r="E203" s="806"/>
      <c r="F203" s="805" t="s">
        <v>15242</v>
      </c>
      <c r="G203" s="292"/>
      <c r="H203" s="292"/>
      <c r="I203" s="292"/>
      <c r="J203" s="806"/>
      <c r="K203" s="806"/>
    </row>
    <row r="204" spans="1:11">
      <c r="A204" s="805" t="s">
        <v>833</v>
      </c>
      <c r="B204" s="805" t="s">
        <v>15433</v>
      </c>
      <c r="C204" s="292" t="s">
        <v>15434</v>
      </c>
      <c r="D204" s="316">
        <v>3265</v>
      </c>
      <c r="E204" s="806"/>
      <c r="F204" s="805" t="s">
        <v>15242</v>
      </c>
      <c r="G204" s="292"/>
      <c r="H204" s="292"/>
      <c r="I204" s="292"/>
      <c r="J204" s="806"/>
      <c r="K204" s="806"/>
    </row>
    <row r="205" spans="1:11">
      <c r="A205" s="805" t="s">
        <v>834</v>
      </c>
      <c r="B205" s="805" t="s">
        <v>15435</v>
      </c>
      <c r="C205" s="292" t="s">
        <v>15436</v>
      </c>
      <c r="D205" s="316">
        <v>4822</v>
      </c>
      <c r="E205" s="806"/>
      <c r="F205" s="805" t="s">
        <v>15242</v>
      </c>
      <c r="G205" s="292"/>
      <c r="H205" s="292"/>
      <c r="I205" s="292"/>
      <c r="J205" s="806"/>
      <c r="K205" s="806"/>
    </row>
    <row r="206" spans="1:11">
      <c r="A206" s="805" t="s">
        <v>835</v>
      </c>
      <c r="B206" s="805" t="s">
        <v>2865</v>
      </c>
      <c r="C206" s="292" t="s">
        <v>15437</v>
      </c>
      <c r="D206" s="316">
        <v>2708</v>
      </c>
      <c r="E206" s="806"/>
      <c r="F206" s="805" t="s">
        <v>15242</v>
      </c>
      <c r="G206" s="292"/>
      <c r="H206" s="292"/>
      <c r="I206" s="292"/>
      <c r="J206" s="806"/>
      <c r="K206" s="806"/>
    </row>
    <row r="207" spans="1:11">
      <c r="A207" s="805" t="s">
        <v>836</v>
      </c>
      <c r="B207" s="805" t="s">
        <v>10527</v>
      </c>
      <c r="C207" s="292" t="s">
        <v>15438</v>
      </c>
      <c r="D207" s="316">
        <v>4981</v>
      </c>
      <c r="E207" s="806"/>
      <c r="F207" s="805" t="s">
        <v>15242</v>
      </c>
      <c r="G207" s="292"/>
      <c r="H207" s="292"/>
      <c r="I207" s="292"/>
      <c r="J207" s="806"/>
      <c r="K207" s="806"/>
    </row>
    <row r="208" spans="1:11">
      <c r="A208" s="805" t="s">
        <v>837</v>
      </c>
      <c r="B208" s="805" t="s">
        <v>15439</v>
      </c>
      <c r="C208" s="292" t="s">
        <v>15440</v>
      </c>
      <c r="D208" s="316">
        <v>3209</v>
      </c>
      <c r="E208" s="806"/>
      <c r="F208" s="805" t="s">
        <v>15242</v>
      </c>
      <c r="G208" s="292"/>
      <c r="H208" s="292"/>
      <c r="I208" s="292"/>
      <c r="J208" s="806"/>
      <c r="K208" s="806"/>
    </row>
    <row r="209" spans="1:11">
      <c r="A209" s="806"/>
      <c r="B209" s="806"/>
      <c r="C209" s="806"/>
      <c r="D209" s="809"/>
      <c r="E209" s="806"/>
      <c r="F209" s="806"/>
      <c r="J209" s="806"/>
      <c r="K209" s="806"/>
    </row>
    <row r="210" spans="1:11">
      <c r="A210" s="805" t="s">
        <v>15242</v>
      </c>
      <c r="C210" s="806"/>
      <c r="D210" s="809">
        <f t="shared" ref="D210" si="38">SUM(D192:D208)</f>
        <v>72180</v>
      </c>
      <c r="E210" s="806"/>
      <c r="F210" s="806"/>
      <c r="J210" s="806"/>
      <c r="K210" s="806"/>
    </row>
    <row r="211" spans="1:11">
      <c r="A211" s="805"/>
      <c r="C211" s="806"/>
      <c r="D211" s="809"/>
      <c r="E211" s="806"/>
      <c r="F211" s="806"/>
      <c r="J211" s="806"/>
      <c r="K211" s="806"/>
    </row>
    <row r="212" spans="1:11">
      <c r="A212" s="805" t="s">
        <v>15441</v>
      </c>
      <c r="C212" s="806"/>
      <c r="D212" s="809"/>
      <c r="E212" s="806"/>
      <c r="F212" s="806"/>
      <c r="J212" s="806"/>
      <c r="K212" s="806"/>
    </row>
    <row r="213" spans="1:11">
      <c r="A213" s="805"/>
      <c r="B213" s="805"/>
      <c r="C213" s="806"/>
      <c r="D213" s="820"/>
      <c r="E213" s="806"/>
      <c r="F213" s="806"/>
      <c r="J213" s="806"/>
      <c r="K213" s="806"/>
    </row>
    <row r="214" spans="1:11">
      <c r="A214" s="805"/>
      <c r="B214" s="805"/>
      <c r="C214" s="806"/>
      <c r="D214" s="820"/>
      <c r="E214" s="806"/>
      <c r="F214" s="806"/>
      <c r="J214" s="806"/>
      <c r="K214" s="806"/>
    </row>
    <row r="215" spans="1:11">
      <c r="A215" s="806"/>
      <c r="B215" s="806"/>
      <c r="C215" s="806"/>
      <c r="D215" s="10" t="s">
        <v>285</v>
      </c>
      <c r="E215" s="16"/>
      <c r="F215" s="5" t="s">
        <v>4116</v>
      </c>
      <c r="J215" s="806"/>
      <c r="K215" s="806"/>
    </row>
    <row r="216" spans="1:11">
      <c r="A216" s="806"/>
      <c r="B216" s="806"/>
      <c r="C216" s="806"/>
      <c r="D216" s="15">
        <v>2016</v>
      </c>
      <c r="E216" s="806"/>
      <c r="F216" s="18" t="s">
        <v>286</v>
      </c>
      <c r="J216" s="806"/>
      <c r="K216" s="806"/>
    </row>
    <row r="217" spans="1:11">
      <c r="A217" s="805" t="s">
        <v>15442</v>
      </c>
      <c r="C217" s="806"/>
      <c r="D217" s="809">
        <f t="shared" ref="D217" si="39">SUM(D218:D238)</f>
        <v>84023</v>
      </c>
      <c r="E217" s="806"/>
      <c r="F217" s="806"/>
      <c r="J217" s="806"/>
      <c r="K217" s="806"/>
    </row>
    <row r="218" spans="1:11">
      <c r="A218" s="805" t="s">
        <v>812</v>
      </c>
      <c r="B218" s="805" t="s">
        <v>15443</v>
      </c>
      <c r="C218" s="292" t="s">
        <v>15444</v>
      </c>
      <c r="D218" s="293">
        <v>3650</v>
      </c>
      <c r="E218" s="806"/>
      <c r="F218" s="805" t="s">
        <v>15235</v>
      </c>
      <c r="G218" s="292"/>
      <c r="I218" s="292"/>
      <c r="J218" s="806"/>
      <c r="K218" s="806"/>
    </row>
    <row r="219" spans="1:11">
      <c r="A219" s="805" t="s">
        <v>813</v>
      </c>
      <c r="B219" s="805" t="s">
        <v>14960</v>
      </c>
      <c r="C219" s="292" t="s">
        <v>15445</v>
      </c>
      <c r="D219" s="293">
        <v>5355</v>
      </c>
      <c r="E219" s="806"/>
      <c r="F219" s="805" t="s">
        <v>15243</v>
      </c>
      <c r="G219" s="292"/>
      <c r="I219" s="292"/>
      <c r="J219" s="806"/>
      <c r="K219" s="806"/>
    </row>
    <row r="220" spans="1:11">
      <c r="A220" s="805" t="s">
        <v>814</v>
      </c>
      <c r="B220" s="805" t="s">
        <v>15446</v>
      </c>
      <c r="C220" s="292" t="s">
        <v>15447</v>
      </c>
      <c r="D220" s="293">
        <v>2012</v>
      </c>
      <c r="E220" s="806"/>
      <c r="F220" s="805" t="s">
        <v>15243</v>
      </c>
      <c r="G220" s="292"/>
      <c r="I220" s="292"/>
      <c r="J220" s="806"/>
      <c r="K220" s="806"/>
    </row>
    <row r="221" spans="1:11">
      <c r="A221" s="805" t="s">
        <v>815</v>
      </c>
      <c r="B221" s="805" t="s">
        <v>883</v>
      </c>
      <c r="C221" s="292" t="s">
        <v>15448</v>
      </c>
      <c r="D221" s="293">
        <v>1637</v>
      </c>
      <c r="E221" s="806"/>
      <c r="F221" s="805" t="s">
        <v>15243</v>
      </c>
      <c r="G221" s="292"/>
      <c r="I221" s="292"/>
      <c r="J221" s="806"/>
      <c r="K221" s="806"/>
    </row>
    <row r="222" spans="1:11">
      <c r="A222" s="805" t="s">
        <v>816</v>
      </c>
      <c r="B222" s="805" t="s">
        <v>15449</v>
      </c>
      <c r="C222" s="292" t="s">
        <v>15450</v>
      </c>
      <c r="D222" s="293">
        <v>3980</v>
      </c>
      <c r="E222" s="806"/>
      <c r="F222" s="805" t="s">
        <v>15243</v>
      </c>
      <c r="G222" s="292"/>
      <c r="I222" s="292"/>
      <c r="J222" s="806"/>
      <c r="K222" s="806"/>
    </row>
    <row r="223" spans="1:11">
      <c r="A223" s="805" t="s">
        <v>826</v>
      </c>
      <c r="B223" s="805" t="s">
        <v>15451</v>
      </c>
      <c r="C223" s="292" t="s">
        <v>15452</v>
      </c>
      <c r="D223" s="293">
        <v>3723</v>
      </c>
      <c r="E223" s="806"/>
      <c r="F223" s="805" t="s">
        <v>15235</v>
      </c>
      <c r="G223" s="292"/>
      <c r="I223" s="292"/>
      <c r="J223" s="806"/>
      <c r="K223" s="806"/>
    </row>
    <row r="224" spans="1:11">
      <c r="A224" s="805" t="s">
        <v>827</v>
      </c>
      <c r="B224" s="805" t="s">
        <v>15453</v>
      </c>
      <c r="C224" s="292" t="s">
        <v>15454</v>
      </c>
      <c r="D224" s="295">
        <v>5445</v>
      </c>
      <c r="E224" s="806"/>
      <c r="F224" s="805" t="s">
        <v>15243</v>
      </c>
      <c r="G224" s="292"/>
      <c r="I224" s="292"/>
      <c r="J224" s="806"/>
      <c r="K224" s="806"/>
    </row>
    <row r="225" spans="1:11">
      <c r="A225" s="805" t="s">
        <v>828</v>
      </c>
      <c r="B225" s="805" t="s">
        <v>15455</v>
      </c>
      <c r="C225" s="292" t="s">
        <v>15456</v>
      </c>
      <c r="D225" s="293">
        <v>1957</v>
      </c>
      <c r="E225" s="806"/>
      <c r="F225" s="805" t="s">
        <v>15243</v>
      </c>
      <c r="G225" s="292"/>
      <c r="I225" s="292"/>
      <c r="J225" s="806"/>
      <c r="K225" s="806"/>
    </row>
    <row r="226" spans="1:11">
      <c r="A226" s="805" t="s">
        <v>829</v>
      </c>
      <c r="B226" s="805" t="s">
        <v>15457</v>
      </c>
      <c r="C226" s="292" t="s">
        <v>15458</v>
      </c>
      <c r="D226" s="293">
        <v>5128</v>
      </c>
      <c r="E226" s="806"/>
      <c r="F226" s="805" t="s">
        <v>15243</v>
      </c>
      <c r="G226" s="292"/>
      <c r="I226" s="292"/>
      <c r="J226" s="806"/>
      <c r="K226" s="806"/>
    </row>
    <row r="227" spans="1:11">
      <c r="A227" s="805" t="s">
        <v>830</v>
      </c>
      <c r="B227" s="805" t="s">
        <v>15459</v>
      </c>
      <c r="C227" s="292" t="s">
        <v>15460</v>
      </c>
      <c r="D227" s="293">
        <v>5966</v>
      </c>
      <c r="E227" s="806"/>
      <c r="F227" s="805" t="s">
        <v>15243</v>
      </c>
      <c r="G227" s="292"/>
      <c r="I227" s="292"/>
      <c r="J227" s="806"/>
      <c r="K227" s="806"/>
    </row>
    <row r="228" spans="1:11">
      <c r="A228" s="805" t="s">
        <v>831</v>
      </c>
      <c r="B228" s="805" t="s">
        <v>9250</v>
      </c>
      <c r="C228" s="292" t="s">
        <v>15461</v>
      </c>
      <c r="D228" s="293">
        <v>5995</v>
      </c>
      <c r="E228" s="806"/>
      <c r="F228" s="805" t="s">
        <v>15243</v>
      </c>
      <c r="G228" s="292"/>
      <c r="I228" s="292"/>
      <c r="J228" s="806"/>
      <c r="K228" s="806"/>
    </row>
    <row r="229" spans="1:11">
      <c r="A229" s="805" t="s">
        <v>832</v>
      </c>
      <c r="B229" s="805" t="s">
        <v>15462</v>
      </c>
      <c r="C229" s="292" t="s">
        <v>15463</v>
      </c>
      <c r="D229" s="293">
        <v>5593</v>
      </c>
      <c r="E229" s="806"/>
      <c r="F229" s="805" t="s">
        <v>15243</v>
      </c>
      <c r="G229" s="292"/>
      <c r="I229" s="292"/>
      <c r="J229" s="806"/>
      <c r="K229" s="806"/>
    </row>
    <row r="230" spans="1:11">
      <c r="A230" s="805" t="s">
        <v>833</v>
      </c>
      <c r="B230" s="805" t="s">
        <v>15464</v>
      </c>
      <c r="C230" s="292" t="s">
        <v>15465</v>
      </c>
      <c r="D230" s="293">
        <v>1687</v>
      </c>
      <c r="E230" s="806"/>
      <c r="F230" s="805" t="s">
        <v>15243</v>
      </c>
      <c r="G230" s="292"/>
      <c r="I230" s="292"/>
      <c r="J230" s="806"/>
      <c r="K230" s="806"/>
    </row>
    <row r="231" spans="1:11">
      <c r="A231" s="805" t="s">
        <v>834</v>
      </c>
      <c r="B231" s="805" t="s">
        <v>9205</v>
      </c>
      <c r="C231" s="292" t="s">
        <v>15466</v>
      </c>
      <c r="D231" s="293">
        <v>3765</v>
      </c>
      <c r="E231" s="806"/>
      <c r="F231" s="805" t="s">
        <v>15243</v>
      </c>
      <c r="G231" s="292"/>
      <c r="I231" s="292"/>
      <c r="J231" s="806"/>
      <c r="K231" s="806"/>
    </row>
    <row r="232" spans="1:11">
      <c r="A232" s="805" t="s">
        <v>835</v>
      </c>
      <c r="B232" s="805" t="s">
        <v>15467</v>
      </c>
      <c r="C232" s="292" t="s">
        <v>15468</v>
      </c>
      <c r="D232" s="293">
        <v>3481</v>
      </c>
      <c r="E232" s="806"/>
      <c r="F232" s="805" t="s">
        <v>15243</v>
      </c>
      <c r="G232" s="292"/>
      <c r="I232" s="292"/>
      <c r="J232" s="806"/>
      <c r="K232" s="806"/>
    </row>
    <row r="233" spans="1:11">
      <c r="A233" s="805" t="s">
        <v>836</v>
      </c>
      <c r="B233" s="805" t="s">
        <v>15469</v>
      </c>
      <c r="C233" s="292" t="s">
        <v>15470</v>
      </c>
      <c r="D233" s="293">
        <v>3540</v>
      </c>
      <c r="E233" s="806"/>
      <c r="F233" s="805" t="s">
        <v>15243</v>
      </c>
      <c r="G233" s="292"/>
      <c r="I233" s="292"/>
      <c r="J233" s="806"/>
      <c r="K233" s="806"/>
    </row>
    <row r="234" spans="1:11">
      <c r="A234" s="805" t="s">
        <v>837</v>
      </c>
      <c r="B234" s="805" t="s">
        <v>15471</v>
      </c>
      <c r="C234" s="292" t="s">
        <v>15472</v>
      </c>
      <c r="D234" s="295">
        <v>5638</v>
      </c>
      <c r="E234" s="806"/>
      <c r="F234" s="805" t="s">
        <v>15243</v>
      </c>
      <c r="G234" s="292"/>
      <c r="I234" s="292"/>
      <c r="J234" s="806"/>
      <c r="K234" s="806"/>
    </row>
    <row r="235" spans="1:11">
      <c r="A235" s="805" t="s">
        <v>838</v>
      </c>
      <c r="B235" s="805" t="s">
        <v>9170</v>
      </c>
      <c r="C235" s="292" t="s">
        <v>15473</v>
      </c>
      <c r="D235" s="295">
        <v>3931</v>
      </c>
      <c r="E235" s="806"/>
      <c r="F235" s="805" t="s">
        <v>15243</v>
      </c>
      <c r="G235" s="292"/>
      <c r="I235" s="292"/>
      <c r="J235" s="806"/>
      <c r="K235" s="806"/>
    </row>
    <row r="236" spans="1:11">
      <c r="A236" s="805" t="s">
        <v>840</v>
      </c>
      <c r="B236" s="805" t="s">
        <v>15474</v>
      </c>
      <c r="C236" s="292" t="s">
        <v>15475</v>
      </c>
      <c r="D236" s="295">
        <v>1427</v>
      </c>
      <c r="E236" s="806"/>
      <c r="F236" s="805" t="s">
        <v>15243</v>
      </c>
      <c r="G236" s="292"/>
      <c r="I236" s="292"/>
      <c r="J236" s="806"/>
      <c r="K236" s="806"/>
    </row>
    <row r="237" spans="1:11">
      <c r="A237" s="805" t="s">
        <v>841</v>
      </c>
      <c r="B237" s="805" t="s">
        <v>15476</v>
      </c>
      <c r="C237" s="292" t="s">
        <v>15477</v>
      </c>
      <c r="D237" s="295">
        <v>6093</v>
      </c>
      <c r="E237" s="806"/>
      <c r="F237" s="805" t="s">
        <v>15243</v>
      </c>
      <c r="G237" s="292"/>
      <c r="I237" s="292"/>
      <c r="J237" s="806"/>
      <c r="K237" s="806"/>
    </row>
    <row r="238" spans="1:11">
      <c r="A238" s="805" t="s">
        <v>878</v>
      </c>
      <c r="B238" s="805" t="s">
        <v>4429</v>
      </c>
      <c r="C238" s="292" t="s">
        <v>15478</v>
      </c>
      <c r="D238" s="295">
        <v>4020</v>
      </c>
      <c r="E238" s="806"/>
      <c r="F238" s="805" t="s">
        <v>15243</v>
      </c>
      <c r="G238" s="292"/>
      <c r="I238" s="292"/>
      <c r="J238" s="806"/>
      <c r="K238" s="806"/>
    </row>
    <row r="239" spans="1:11">
      <c r="A239" s="805"/>
      <c r="B239" s="805"/>
      <c r="C239" s="292"/>
      <c r="D239" s="295"/>
      <c r="E239" s="806"/>
      <c r="F239" s="805"/>
      <c r="G239" s="292"/>
      <c r="I239" s="292"/>
      <c r="J239" s="806"/>
      <c r="K239" s="806"/>
    </row>
    <row r="240" spans="1:11">
      <c r="A240" s="805" t="s">
        <v>15409</v>
      </c>
      <c r="B240" s="806"/>
      <c r="C240" s="806"/>
      <c r="D240" s="814">
        <f>D218+D223</f>
        <v>7373</v>
      </c>
      <c r="E240" s="806"/>
      <c r="F240" s="806"/>
      <c r="J240" s="806"/>
      <c r="K240" s="806"/>
    </row>
    <row r="241" spans="1:11">
      <c r="A241" s="805" t="s">
        <v>15243</v>
      </c>
      <c r="C241" s="806"/>
      <c r="D241" s="809">
        <f>SUM(D219:D222)+SUM(D224:D238)</f>
        <v>76650</v>
      </c>
      <c r="E241" s="806"/>
      <c r="F241" s="806"/>
      <c r="J241" s="806"/>
      <c r="K241" s="806"/>
    </row>
    <row r="242" spans="1:11">
      <c r="A242" s="805"/>
      <c r="C242" s="806"/>
      <c r="D242" s="809"/>
      <c r="E242" s="806"/>
      <c r="F242" s="806"/>
      <c r="J242" s="806"/>
      <c r="K242" s="806"/>
    </row>
    <row r="243" spans="1:11">
      <c r="A243" s="805" t="s">
        <v>15479</v>
      </c>
      <c r="C243" s="806"/>
      <c r="D243" s="809"/>
      <c r="E243" s="806"/>
      <c r="F243" s="806"/>
      <c r="J243" s="806"/>
      <c r="K243" s="806"/>
    </row>
    <row r="244" spans="1:11">
      <c r="A244" s="805"/>
      <c r="B244" s="805"/>
      <c r="C244" s="806"/>
      <c r="D244" s="820"/>
      <c r="E244" s="806"/>
      <c r="F244" s="806"/>
      <c r="J244" s="806"/>
      <c r="K244" s="806"/>
    </row>
    <row r="245" spans="1:11">
      <c r="A245" s="805"/>
      <c r="B245" s="805"/>
      <c r="C245" s="806"/>
      <c r="D245" s="820"/>
      <c r="E245" s="806"/>
      <c r="F245" s="806"/>
      <c r="J245" s="806"/>
      <c r="K245" s="806"/>
    </row>
    <row r="246" spans="1:11">
      <c r="A246" s="806"/>
      <c r="B246" s="806"/>
      <c r="C246" s="806"/>
      <c r="D246" s="10" t="s">
        <v>285</v>
      </c>
      <c r="E246" s="16"/>
      <c r="F246" s="5" t="s">
        <v>4116</v>
      </c>
      <c r="J246" s="806"/>
      <c r="K246" s="806"/>
    </row>
    <row r="247" spans="1:11">
      <c r="A247" s="806"/>
      <c r="B247" s="806"/>
      <c r="C247" s="806"/>
      <c r="D247" s="15">
        <v>2016</v>
      </c>
      <c r="E247" s="806"/>
      <c r="F247" s="18" t="s">
        <v>286</v>
      </c>
      <c r="J247" s="806"/>
      <c r="K247" s="806"/>
    </row>
    <row r="248" spans="1:11">
      <c r="A248" s="805" t="s">
        <v>15480</v>
      </c>
      <c r="C248" s="806"/>
      <c r="D248" s="809">
        <f t="shared" ref="D248" si="40">SUM(D249:D266)</f>
        <v>70477</v>
      </c>
      <c r="E248" s="806"/>
      <c r="F248" s="806"/>
      <c r="J248" s="806"/>
      <c r="K248" s="806"/>
    </row>
    <row r="249" spans="1:11">
      <c r="A249" s="805" t="s">
        <v>812</v>
      </c>
      <c r="B249" s="805" t="s">
        <v>888</v>
      </c>
      <c r="C249" s="292" t="s">
        <v>15481</v>
      </c>
      <c r="D249" s="316">
        <v>4477</v>
      </c>
      <c r="E249" s="806"/>
      <c r="F249" s="805" t="s">
        <v>15246</v>
      </c>
      <c r="G249" s="292"/>
      <c r="I249" s="292"/>
      <c r="J249" s="806"/>
      <c r="K249" s="806"/>
    </row>
    <row r="250" spans="1:11">
      <c r="A250" s="805" t="s">
        <v>813</v>
      </c>
      <c r="B250" s="805" t="s">
        <v>15482</v>
      </c>
      <c r="C250" s="292" t="s">
        <v>15483</v>
      </c>
      <c r="D250" s="316">
        <v>1727</v>
      </c>
      <c r="E250" s="806"/>
      <c r="F250" s="805" t="s">
        <v>15246</v>
      </c>
      <c r="G250" s="292"/>
      <c r="I250" s="292"/>
      <c r="J250" s="806"/>
      <c r="K250" s="806"/>
    </row>
    <row r="251" spans="1:11">
      <c r="A251" s="805" t="s">
        <v>814</v>
      </c>
      <c r="B251" s="805" t="s">
        <v>10091</v>
      </c>
      <c r="C251" s="292" t="s">
        <v>15484</v>
      </c>
      <c r="D251" s="316">
        <v>3196</v>
      </c>
      <c r="E251" s="806"/>
      <c r="F251" s="805" t="s">
        <v>15246</v>
      </c>
      <c r="G251" s="292"/>
      <c r="I251" s="292"/>
      <c r="J251" s="806"/>
      <c r="K251" s="806"/>
    </row>
    <row r="252" spans="1:11">
      <c r="A252" s="805" t="s">
        <v>815</v>
      </c>
      <c r="B252" s="805" t="s">
        <v>15485</v>
      </c>
      <c r="C252" s="292" t="s">
        <v>15486</v>
      </c>
      <c r="D252" s="316">
        <v>3138</v>
      </c>
      <c r="E252" s="806"/>
      <c r="F252" s="805" t="s">
        <v>15253</v>
      </c>
      <c r="G252" s="292"/>
      <c r="I252" s="292"/>
      <c r="J252" s="806"/>
      <c r="K252" s="806"/>
    </row>
    <row r="253" spans="1:11">
      <c r="A253" s="805" t="s">
        <v>816</v>
      </c>
      <c r="B253" s="805" t="s">
        <v>15487</v>
      </c>
      <c r="C253" s="292" t="s">
        <v>15488</v>
      </c>
      <c r="D253" s="316">
        <v>2841</v>
      </c>
      <c r="E253" s="806"/>
      <c r="F253" s="805" t="s">
        <v>15246</v>
      </c>
      <c r="G253" s="292"/>
      <c r="I253" s="292"/>
      <c r="J253" s="806"/>
      <c r="K253" s="806"/>
    </row>
    <row r="254" spans="1:11">
      <c r="A254" s="805" t="s">
        <v>826</v>
      </c>
      <c r="B254" s="805" t="s">
        <v>15489</v>
      </c>
      <c r="C254" s="292" t="s">
        <v>15490</v>
      </c>
      <c r="D254" s="316">
        <v>3485</v>
      </c>
      <c r="E254" s="806"/>
      <c r="F254" s="805" t="s">
        <v>15246</v>
      </c>
      <c r="G254" s="292"/>
      <c r="I254" s="292"/>
      <c r="J254" s="806"/>
      <c r="K254" s="806"/>
    </row>
    <row r="255" spans="1:11">
      <c r="A255" s="805" t="s">
        <v>827</v>
      </c>
      <c r="B255" s="805" t="s">
        <v>15491</v>
      </c>
      <c r="C255" s="292" t="s">
        <v>15492</v>
      </c>
      <c r="D255" s="316">
        <v>3434</v>
      </c>
      <c r="E255" s="806"/>
      <c r="F255" s="805" t="s">
        <v>15246</v>
      </c>
      <c r="G255" s="292"/>
      <c r="I255" s="292"/>
      <c r="J255" s="806"/>
      <c r="K255" s="806"/>
    </row>
    <row r="256" spans="1:11">
      <c r="A256" s="805" t="s">
        <v>828</v>
      </c>
      <c r="B256" s="805" t="s">
        <v>15493</v>
      </c>
      <c r="C256" s="292" t="s">
        <v>15494</v>
      </c>
      <c r="D256" s="316">
        <v>4742</v>
      </c>
      <c r="E256" s="806"/>
      <c r="F256" s="805" t="s">
        <v>15246</v>
      </c>
      <c r="G256" s="292"/>
      <c r="I256" s="292"/>
      <c r="J256" s="806"/>
      <c r="K256" s="806"/>
    </row>
    <row r="257" spans="1:11">
      <c r="A257" s="805" t="s">
        <v>829</v>
      </c>
      <c r="B257" s="805" t="s">
        <v>15495</v>
      </c>
      <c r="C257" s="292" t="s">
        <v>15496</v>
      </c>
      <c r="D257" s="316">
        <v>5055</v>
      </c>
      <c r="E257" s="806"/>
      <c r="F257" s="805" t="s">
        <v>15246</v>
      </c>
      <c r="G257" s="292"/>
      <c r="I257" s="292"/>
      <c r="J257" s="806"/>
      <c r="K257" s="806"/>
    </row>
    <row r="258" spans="1:11">
      <c r="A258" s="805" t="s">
        <v>830</v>
      </c>
      <c r="B258" s="805" t="s">
        <v>15497</v>
      </c>
      <c r="C258" s="292" t="s">
        <v>15498</v>
      </c>
      <c r="D258" s="316">
        <v>4363</v>
      </c>
      <c r="E258" s="806"/>
      <c r="F258" s="805" t="s">
        <v>15246</v>
      </c>
      <c r="G258" s="292"/>
      <c r="I258" s="292"/>
      <c r="J258" s="806"/>
      <c r="K258" s="806"/>
    </row>
    <row r="259" spans="1:11">
      <c r="A259" s="805" t="s">
        <v>831</v>
      </c>
      <c r="B259" s="805" t="s">
        <v>15499</v>
      </c>
      <c r="C259" s="292" t="s">
        <v>15500</v>
      </c>
      <c r="D259" s="316">
        <v>4667</v>
      </c>
      <c r="E259" s="806"/>
      <c r="F259" s="805" t="s">
        <v>15246</v>
      </c>
      <c r="G259" s="292"/>
      <c r="I259" s="292"/>
      <c r="J259" s="806"/>
      <c r="K259" s="806"/>
    </row>
    <row r="260" spans="1:11">
      <c r="A260" s="805" t="s">
        <v>832</v>
      </c>
      <c r="B260" s="805" t="s">
        <v>5476</v>
      </c>
      <c r="C260" s="292" t="s">
        <v>15501</v>
      </c>
      <c r="D260" s="316">
        <v>4842</v>
      </c>
      <c r="E260" s="806"/>
      <c r="F260" s="805" t="s">
        <v>15246</v>
      </c>
      <c r="G260" s="292"/>
      <c r="I260" s="292"/>
      <c r="J260" s="806"/>
      <c r="K260" s="806"/>
    </row>
    <row r="261" spans="1:11">
      <c r="A261" s="805" t="s">
        <v>833</v>
      </c>
      <c r="B261" s="805" t="s">
        <v>15502</v>
      </c>
      <c r="C261" s="292" t="s">
        <v>15503</v>
      </c>
      <c r="D261" s="316">
        <v>3370</v>
      </c>
      <c r="E261" s="806"/>
      <c r="F261" s="805" t="s">
        <v>15246</v>
      </c>
      <c r="G261" s="292"/>
      <c r="I261" s="292"/>
      <c r="J261" s="806"/>
      <c r="K261" s="806"/>
    </row>
    <row r="262" spans="1:11">
      <c r="A262" s="805" t="s">
        <v>834</v>
      </c>
      <c r="B262" s="805" t="s">
        <v>15504</v>
      </c>
      <c r="C262" s="292" t="s">
        <v>15505</v>
      </c>
      <c r="D262" s="316">
        <v>3243</v>
      </c>
      <c r="E262" s="806"/>
      <c r="F262" s="805" t="s">
        <v>15246</v>
      </c>
      <c r="G262" s="292"/>
      <c r="I262" s="292"/>
      <c r="J262" s="806"/>
      <c r="K262" s="806"/>
    </row>
    <row r="263" spans="1:11">
      <c r="A263" s="805" t="s">
        <v>835</v>
      </c>
      <c r="B263" s="805" t="s">
        <v>15506</v>
      </c>
      <c r="C263" s="292" t="s">
        <v>15507</v>
      </c>
      <c r="D263" s="316">
        <v>5280</v>
      </c>
      <c r="E263" s="806"/>
      <c r="F263" s="805" t="s">
        <v>15246</v>
      </c>
      <c r="G263" s="292"/>
      <c r="I263" s="292"/>
      <c r="J263" s="806"/>
      <c r="K263" s="806"/>
    </row>
    <row r="264" spans="1:11">
      <c r="A264" s="805" t="s">
        <v>836</v>
      </c>
      <c r="B264" s="805" t="s">
        <v>15508</v>
      </c>
      <c r="C264" s="292" t="s">
        <v>15509</v>
      </c>
      <c r="D264" s="316">
        <v>4555</v>
      </c>
      <c r="E264" s="806"/>
      <c r="F264" s="805" t="s">
        <v>15246</v>
      </c>
      <c r="G264" s="292"/>
      <c r="I264" s="292"/>
      <c r="J264" s="806"/>
      <c r="K264" s="806"/>
    </row>
    <row r="265" spans="1:11">
      <c r="A265" s="805" t="s">
        <v>837</v>
      </c>
      <c r="B265" s="805" t="s">
        <v>15510</v>
      </c>
      <c r="C265" s="292" t="s">
        <v>15511</v>
      </c>
      <c r="D265" s="316">
        <v>3115</v>
      </c>
      <c r="E265" s="806"/>
      <c r="F265" s="805" t="s">
        <v>15246</v>
      </c>
      <c r="G265" s="292"/>
      <c r="I265" s="292"/>
      <c r="J265" s="806"/>
      <c r="K265" s="806"/>
    </row>
    <row r="266" spans="1:11">
      <c r="A266" s="805" t="s">
        <v>838</v>
      </c>
      <c r="B266" s="805" t="s">
        <v>3542</v>
      </c>
      <c r="C266" s="292" t="s">
        <v>15512</v>
      </c>
      <c r="D266" s="316">
        <v>4947</v>
      </c>
      <c r="E266" s="806"/>
      <c r="F266" s="805" t="s">
        <v>15246</v>
      </c>
      <c r="G266" s="292"/>
      <c r="I266" s="292"/>
      <c r="J266" s="806"/>
      <c r="K266" s="806"/>
    </row>
    <row r="267" spans="1:11">
      <c r="A267" s="806"/>
      <c r="B267" s="806"/>
      <c r="C267" s="806"/>
      <c r="D267" s="814"/>
      <c r="E267" s="806"/>
      <c r="F267" s="806"/>
      <c r="J267" s="806"/>
      <c r="K267" s="806"/>
    </row>
    <row r="268" spans="1:11">
      <c r="A268" s="805" t="s">
        <v>15513</v>
      </c>
      <c r="C268" s="806"/>
      <c r="D268" s="809">
        <f>SUM(D249:D251)+SUM(D253:D266)</f>
        <v>67339</v>
      </c>
      <c r="E268" s="806"/>
      <c r="F268" s="806"/>
      <c r="J268" s="806"/>
      <c r="K268" s="806"/>
    </row>
    <row r="269" spans="1:11">
      <c r="A269" s="805" t="s">
        <v>15514</v>
      </c>
      <c r="C269" s="806"/>
      <c r="D269" s="809">
        <f>D252</f>
        <v>3138</v>
      </c>
      <c r="E269" s="806"/>
      <c r="F269" s="806"/>
      <c r="J269" s="806"/>
      <c r="K269" s="806"/>
    </row>
    <row r="270" spans="1:11">
      <c r="A270" s="805"/>
      <c r="C270" s="806"/>
      <c r="D270" s="809"/>
      <c r="E270" s="806"/>
      <c r="F270" s="806"/>
      <c r="J270" s="806"/>
      <c r="K270" s="806"/>
    </row>
    <row r="271" spans="1:11">
      <c r="A271" s="805" t="s">
        <v>15515</v>
      </c>
      <c r="C271" s="806"/>
      <c r="D271" s="809"/>
      <c r="E271" s="806"/>
      <c r="F271" s="806"/>
      <c r="J271" s="806"/>
      <c r="K271" s="806"/>
    </row>
    <row r="272" spans="1:11">
      <c r="A272" s="805"/>
      <c r="B272" s="805"/>
      <c r="C272" s="806"/>
      <c r="D272" s="820"/>
      <c r="E272" s="806"/>
      <c r="F272" s="806"/>
      <c r="J272" s="806"/>
      <c r="K272" s="806"/>
    </row>
    <row r="273" spans="1:11">
      <c r="A273" s="805"/>
      <c r="B273" s="805"/>
      <c r="C273" s="806"/>
      <c r="D273" s="820"/>
      <c r="E273" s="806"/>
      <c r="F273" s="806"/>
      <c r="J273" s="806"/>
      <c r="K273" s="806"/>
    </row>
    <row r="274" spans="1:11">
      <c r="A274" s="806"/>
      <c r="B274" s="806"/>
      <c r="C274" s="806"/>
      <c r="D274" s="10" t="s">
        <v>285</v>
      </c>
      <c r="E274" s="16"/>
      <c r="F274" s="5" t="s">
        <v>4116</v>
      </c>
      <c r="J274" s="806"/>
      <c r="K274" s="806"/>
    </row>
    <row r="275" spans="1:11">
      <c r="A275" s="806"/>
      <c r="B275" s="806"/>
      <c r="C275" s="806"/>
      <c r="D275" s="15">
        <v>2016</v>
      </c>
      <c r="E275" s="806"/>
      <c r="F275" s="18" t="s">
        <v>286</v>
      </c>
      <c r="J275" s="806"/>
      <c r="K275" s="806"/>
    </row>
    <row r="276" spans="1:11">
      <c r="A276" s="805" t="s">
        <v>15516</v>
      </c>
      <c r="C276" s="806"/>
      <c r="D276" s="809">
        <f t="shared" ref="D276" si="41">SUM(D277:D302)</f>
        <v>108432</v>
      </c>
      <c r="E276" s="806"/>
      <c r="F276" s="806"/>
      <c r="J276" s="806"/>
      <c r="K276" s="806"/>
    </row>
    <row r="277" spans="1:11">
      <c r="A277" s="805" t="s">
        <v>812</v>
      </c>
      <c r="B277" s="805" t="s">
        <v>15517</v>
      </c>
      <c r="C277" s="292" t="s">
        <v>15518</v>
      </c>
      <c r="D277" s="316">
        <v>5356</v>
      </c>
      <c r="E277" s="806"/>
      <c r="F277" s="805" t="s">
        <v>15251</v>
      </c>
      <c r="G277" s="292"/>
      <c r="I277" s="292"/>
      <c r="J277" s="806"/>
      <c r="K277" s="806"/>
    </row>
    <row r="278" spans="1:11">
      <c r="A278" s="805" t="s">
        <v>813</v>
      </c>
      <c r="B278" s="805" t="s">
        <v>15519</v>
      </c>
      <c r="C278" s="292" t="s">
        <v>15520</v>
      </c>
      <c r="D278" s="316">
        <v>1880</v>
      </c>
      <c r="E278" s="806"/>
      <c r="F278" s="805" t="s">
        <v>15251</v>
      </c>
      <c r="G278" s="292"/>
      <c r="I278" s="292"/>
      <c r="J278" s="806"/>
      <c r="K278" s="806"/>
    </row>
    <row r="279" spans="1:11">
      <c r="A279" s="805" t="s">
        <v>814</v>
      </c>
      <c r="B279" s="805" t="s">
        <v>15521</v>
      </c>
      <c r="C279" s="292" t="s">
        <v>15522</v>
      </c>
      <c r="D279" s="316">
        <v>6367</v>
      </c>
      <c r="E279" s="806"/>
      <c r="F279" s="805" t="s">
        <v>15251</v>
      </c>
      <c r="G279" s="292"/>
      <c r="I279" s="292"/>
      <c r="J279" s="806"/>
      <c r="K279" s="806"/>
    </row>
    <row r="280" spans="1:11">
      <c r="A280" s="805" t="s">
        <v>815</v>
      </c>
      <c r="B280" s="805" t="s">
        <v>15523</v>
      </c>
      <c r="C280" s="292" t="s">
        <v>15524</v>
      </c>
      <c r="D280" s="316">
        <v>1925</v>
      </c>
      <c r="E280" s="806"/>
      <c r="F280" s="805" t="s">
        <v>15257</v>
      </c>
      <c r="G280" s="292"/>
      <c r="I280" s="292"/>
      <c r="J280" s="806"/>
      <c r="K280" s="806"/>
    </row>
    <row r="281" spans="1:11">
      <c r="A281" s="805" t="s">
        <v>816</v>
      </c>
      <c r="B281" s="805" t="s">
        <v>15525</v>
      </c>
      <c r="C281" s="292" t="s">
        <v>15526</v>
      </c>
      <c r="D281" s="316">
        <v>6162</v>
      </c>
      <c r="E281" s="806"/>
      <c r="F281" s="805" t="s">
        <v>15251</v>
      </c>
      <c r="G281" s="292"/>
      <c r="I281" s="292"/>
      <c r="J281" s="806"/>
      <c r="K281" s="806"/>
    </row>
    <row r="282" spans="1:11">
      <c r="A282" s="805" t="s">
        <v>826</v>
      </c>
      <c r="B282" s="805" t="s">
        <v>5628</v>
      </c>
      <c r="C282" s="292" t="s">
        <v>15527</v>
      </c>
      <c r="D282" s="316">
        <v>3965</v>
      </c>
      <c r="E282" s="806"/>
      <c r="F282" s="805" t="s">
        <v>15251</v>
      </c>
      <c r="G282" s="292"/>
      <c r="I282" s="292"/>
      <c r="J282" s="806"/>
      <c r="K282" s="806"/>
    </row>
    <row r="283" spans="1:11">
      <c r="A283" s="805" t="s">
        <v>827</v>
      </c>
      <c r="B283" s="805" t="s">
        <v>15528</v>
      </c>
      <c r="C283" s="292" t="s">
        <v>15529</v>
      </c>
      <c r="D283" s="316">
        <v>5456</v>
      </c>
      <c r="E283" s="806"/>
      <c r="F283" s="805" t="s">
        <v>15257</v>
      </c>
      <c r="G283" s="292"/>
      <c r="I283" s="292"/>
      <c r="J283" s="806"/>
      <c r="K283" s="806"/>
    </row>
    <row r="284" spans="1:11">
      <c r="A284" s="805" t="s">
        <v>828</v>
      </c>
      <c r="B284" s="805" t="s">
        <v>15530</v>
      </c>
      <c r="C284" s="292" t="s">
        <v>15531</v>
      </c>
      <c r="D284" s="316">
        <v>2265</v>
      </c>
      <c r="E284" s="806"/>
      <c r="F284" s="805" t="s">
        <v>15251</v>
      </c>
      <c r="G284" s="292"/>
      <c r="I284" s="292"/>
      <c r="J284" s="806"/>
      <c r="K284" s="806"/>
    </row>
    <row r="285" spans="1:11">
      <c r="A285" s="805" t="s">
        <v>829</v>
      </c>
      <c r="B285" s="805" t="s">
        <v>15532</v>
      </c>
      <c r="C285" s="292" t="s">
        <v>15533</v>
      </c>
      <c r="D285" s="316">
        <v>1909</v>
      </c>
      <c r="E285" s="806"/>
      <c r="F285" s="805" t="s">
        <v>15251</v>
      </c>
      <c r="G285" s="292"/>
      <c r="I285" s="292"/>
      <c r="J285" s="806"/>
      <c r="K285" s="806"/>
    </row>
    <row r="286" spans="1:11">
      <c r="A286" s="805" t="s">
        <v>830</v>
      </c>
      <c r="B286" s="805" t="s">
        <v>7028</v>
      </c>
      <c r="C286" s="292" t="s">
        <v>15534</v>
      </c>
      <c r="D286" s="316">
        <v>5839</v>
      </c>
      <c r="E286" s="806"/>
      <c r="F286" s="805" t="s">
        <v>15251</v>
      </c>
      <c r="G286" s="292"/>
      <c r="I286" s="292"/>
      <c r="J286" s="806"/>
      <c r="K286" s="806"/>
    </row>
    <row r="287" spans="1:11">
      <c r="A287" s="805" t="s">
        <v>831</v>
      </c>
      <c r="B287" s="805" t="s">
        <v>15535</v>
      </c>
      <c r="C287" s="292" t="s">
        <v>15536</v>
      </c>
      <c r="D287" s="316">
        <v>5972</v>
      </c>
      <c r="E287" s="806"/>
      <c r="F287" s="805" t="s">
        <v>15251</v>
      </c>
      <c r="G287" s="292"/>
      <c r="I287" s="292"/>
      <c r="J287" s="806"/>
      <c r="K287" s="806"/>
    </row>
    <row r="288" spans="1:11">
      <c r="A288" s="805" t="s">
        <v>832</v>
      </c>
      <c r="B288" s="805" t="s">
        <v>15537</v>
      </c>
      <c r="C288" s="292" t="s">
        <v>15538</v>
      </c>
      <c r="D288" s="316">
        <v>4418</v>
      </c>
      <c r="E288" s="806"/>
      <c r="F288" s="805" t="s">
        <v>15257</v>
      </c>
      <c r="G288" s="292"/>
      <c r="I288" s="292"/>
      <c r="J288" s="806"/>
      <c r="K288" s="806"/>
    </row>
    <row r="289" spans="1:11">
      <c r="A289" s="805" t="s">
        <v>833</v>
      </c>
      <c r="B289" s="805" t="s">
        <v>15539</v>
      </c>
      <c r="C289" s="292" t="s">
        <v>15540</v>
      </c>
      <c r="D289" s="316">
        <v>3778</v>
      </c>
      <c r="E289" s="806"/>
      <c r="F289" s="805" t="s">
        <v>15257</v>
      </c>
      <c r="G289" s="292"/>
      <c r="I289" s="292"/>
      <c r="J289" s="806"/>
      <c r="K289" s="806"/>
    </row>
    <row r="290" spans="1:11">
      <c r="A290" s="805" t="s">
        <v>834</v>
      </c>
      <c r="B290" s="805" t="s">
        <v>2851</v>
      </c>
      <c r="C290" s="292" t="s">
        <v>15541</v>
      </c>
      <c r="D290" s="316">
        <v>4037</v>
      </c>
      <c r="E290" s="806"/>
      <c r="F290" s="805" t="s">
        <v>15251</v>
      </c>
      <c r="G290" s="292"/>
      <c r="I290" s="292"/>
      <c r="J290" s="806"/>
      <c r="K290" s="806"/>
    </row>
    <row r="291" spans="1:11">
      <c r="A291" s="805" t="s">
        <v>835</v>
      </c>
      <c r="B291" s="805" t="s">
        <v>10473</v>
      </c>
      <c r="C291" s="292" t="s">
        <v>15542</v>
      </c>
      <c r="D291" s="316">
        <v>5715</v>
      </c>
      <c r="E291" s="806"/>
      <c r="F291" s="805" t="s">
        <v>15251</v>
      </c>
      <c r="G291" s="292"/>
      <c r="I291" s="292"/>
      <c r="J291" s="806"/>
      <c r="K291" s="806"/>
    </row>
    <row r="292" spans="1:11">
      <c r="A292" s="805" t="s">
        <v>836</v>
      </c>
      <c r="B292" s="805" t="s">
        <v>10594</v>
      </c>
      <c r="C292" s="292" t="s">
        <v>15543</v>
      </c>
      <c r="D292" s="316">
        <v>1770</v>
      </c>
      <c r="E292" s="806"/>
      <c r="F292" s="805" t="s">
        <v>15257</v>
      </c>
      <c r="G292" s="292"/>
      <c r="I292" s="292"/>
      <c r="J292" s="806"/>
      <c r="K292" s="806"/>
    </row>
    <row r="293" spans="1:11">
      <c r="A293" s="805" t="s">
        <v>837</v>
      </c>
      <c r="B293" s="805" t="s">
        <v>15544</v>
      </c>
      <c r="C293" s="292" t="s">
        <v>15545</v>
      </c>
      <c r="D293" s="316">
        <v>1976</v>
      </c>
      <c r="E293" s="806"/>
      <c r="F293" s="805" t="s">
        <v>15257</v>
      </c>
      <c r="G293" s="292"/>
      <c r="I293" s="292"/>
      <c r="J293" s="806"/>
      <c r="K293" s="806"/>
    </row>
    <row r="294" spans="1:11">
      <c r="A294" s="805" t="s">
        <v>838</v>
      </c>
      <c r="B294" s="805" t="s">
        <v>15546</v>
      </c>
      <c r="C294" s="292" t="s">
        <v>15547</v>
      </c>
      <c r="D294" s="316">
        <v>5618</v>
      </c>
      <c r="E294" s="806"/>
      <c r="F294" s="805" t="s">
        <v>15257</v>
      </c>
      <c r="G294" s="292"/>
      <c r="I294" s="292"/>
      <c r="J294" s="806"/>
      <c r="K294" s="806"/>
    </row>
    <row r="295" spans="1:11">
      <c r="A295" s="805" t="s">
        <v>840</v>
      </c>
      <c r="B295" s="805" t="s">
        <v>7038</v>
      </c>
      <c r="C295" s="292" t="s">
        <v>15548</v>
      </c>
      <c r="D295" s="316">
        <v>5564</v>
      </c>
      <c r="E295" s="806"/>
      <c r="F295" s="805" t="s">
        <v>15251</v>
      </c>
      <c r="G295" s="292"/>
      <c r="I295" s="292"/>
      <c r="J295" s="806"/>
      <c r="K295" s="806"/>
    </row>
    <row r="296" spans="1:11">
      <c r="A296" s="805" t="s">
        <v>841</v>
      </c>
      <c r="B296" s="805" t="s">
        <v>15549</v>
      </c>
      <c r="C296" s="292" t="s">
        <v>15550</v>
      </c>
      <c r="D296" s="316">
        <v>1834</v>
      </c>
      <c r="E296" s="806"/>
      <c r="F296" s="805" t="s">
        <v>15257</v>
      </c>
      <c r="G296" s="292"/>
      <c r="I296" s="292"/>
      <c r="J296" s="806"/>
      <c r="K296" s="806"/>
    </row>
    <row r="297" spans="1:11">
      <c r="A297" s="805" t="s">
        <v>878</v>
      </c>
      <c r="B297" s="805" t="s">
        <v>15551</v>
      </c>
      <c r="C297" s="292" t="s">
        <v>15552</v>
      </c>
      <c r="D297" s="316">
        <v>4039</v>
      </c>
      <c r="E297" s="806"/>
      <c r="F297" s="805" t="s">
        <v>15257</v>
      </c>
      <c r="G297" s="292"/>
      <c r="I297" s="292"/>
      <c r="J297" s="806"/>
      <c r="K297" s="806"/>
    </row>
    <row r="298" spans="1:11">
      <c r="A298" s="805" t="s">
        <v>879</v>
      </c>
      <c r="B298" s="805" t="s">
        <v>15553</v>
      </c>
      <c r="C298" s="292" t="s">
        <v>15554</v>
      </c>
      <c r="D298" s="316">
        <v>5770</v>
      </c>
      <c r="E298" s="806"/>
      <c r="F298" s="805" t="s">
        <v>15251</v>
      </c>
      <c r="G298" s="292"/>
      <c r="I298" s="292"/>
      <c r="J298" s="806"/>
      <c r="K298" s="806"/>
    </row>
    <row r="299" spans="1:11">
      <c r="A299" s="805" t="s">
        <v>880</v>
      </c>
      <c r="B299" s="805" t="s">
        <v>15555</v>
      </c>
      <c r="C299" s="292" t="s">
        <v>15556</v>
      </c>
      <c r="D299" s="316">
        <v>4019</v>
      </c>
      <c r="E299" s="806"/>
      <c r="F299" s="805" t="s">
        <v>15251</v>
      </c>
      <c r="G299" s="292"/>
      <c r="I299" s="292"/>
      <c r="J299" s="806"/>
      <c r="K299" s="806"/>
    </row>
    <row r="300" spans="1:11">
      <c r="A300" s="805" t="s">
        <v>721</v>
      </c>
      <c r="B300" s="805" t="s">
        <v>6984</v>
      </c>
      <c r="C300" s="292" t="s">
        <v>15557</v>
      </c>
      <c r="D300" s="316">
        <v>6464</v>
      </c>
      <c r="E300" s="806"/>
      <c r="F300" s="805" t="s">
        <v>15251</v>
      </c>
      <c r="G300" s="292"/>
      <c r="I300" s="292"/>
      <c r="J300" s="806"/>
      <c r="K300" s="806"/>
    </row>
    <row r="301" spans="1:11">
      <c r="A301" s="805" t="s">
        <v>722</v>
      </c>
      <c r="B301" s="805" t="s">
        <v>15558</v>
      </c>
      <c r="C301" s="292" t="s">
        <v>15559</v>
      </c>
      <c r="D301" s="316">
        <v>4330</v>
      </c>
      <c r="E301" s="806"/>
      <c r="F301" s="805" t="s">
        <v>15257</v>
      </c>
      <c r="G301" s="292"/>
      <c r="I301" s="292"/>
      <c r="J301" s="806"/>
      <c r="K301" s="806"/>
    </row>
    <row r="302" spans="1:11">
      <c r="A302" s="805" t="s">
        <v>723</v>
      </c>
      <c r="B302" s="805" t="s">
        <v>15560</v>
      </c>
      <c r="C302" s="292" t="s">
        <v>15561</v>
      </c>
      <c r="D302" s="316">
        <v>2004</v>
      </c>
      <c r="E302" s="806"/>
      <c r="F302" s="805" t="s">
        <v>15257</v>
      </c>
      <c r="G302" s="292"/>
      <c r="I302" s="292"/>
      <c r="J302" s="806"/>
      <c r="K302" s="806"/>
    </row>
    <row r="303" spans="1:11">
      <c r="A303" s="806"/>
      <c r="B303" s="806"/>
      <c r="C303" s="806"/>
      <c r="D303" s="814"/>
      <c r="E303" s="806"/>
      <c r="F303" s="806"/>
      <c r="K303" s="806"/>
    </row>
    <row r="304" spans="1:11">
      <c r="A304" s="805" t="s">
        <v>15251</v>
      </c>
      <c r="C304" s="806"/>
      <c r="D304" s="809">
        <f>SUM(D277:D279)+D281+D282+SUM(D284:D287)+D290+D291+D295+SUM(D298:D300)</f>
        <v>71284</v>
      </c>
      <c r="E304" s="806"/>
      <c r="F304" s="806"/>
      <c r="K304" s="806"/>
    </row>
    <row r="305" spans="1:11">
      <c r="A305" s="805" t="s">
        <v>15562</v>
      </c>
      <c r="C305" s="806"/>
      <c r="D305" s="809">
        <f>D280+D283+D288+D289+SUM(D292:D294)+D296+D297+D301+D302</f>
        <v>37148</v>
      </c>
      <c r="E305" s="806"/>
      <c r="F305" s="806"/>
      <c r="K305" s="806"/>
    </row>
    <row r="306" spans="1:11">
      <c r="A306" s="805"/>
      <c r="B306" s="805"/>
      <c r="C306" s="806"/>
      <c r="D306" s="809"/>
      <c r="E306" s="806"/>
      <c r="F306" s="806"/>
      <c r="K306" s="806"/>
    </row>
    <row r="307" spans="1:11">
      <c r="A307" s="808" t="s">
        <v>15563</v>
      </c>
      <c r="C307" s="806"/>
      <c r="E307" s="806"/>
      <c r="F307" s="806"/>
      <c r="K307" s="806"/>
    </row>
    <row r="308" spans="1:11">
      <c r="A308" s="808" t="s">
        <v>15564</v>
      </c>
      <c r="B308" s="805"/>
      <c r="C308" s="806"/>
      <c r="D308" s="820"/>
      <c r="E308" s="806"/>
      <c r="F308" s="806"/>
      <c r="K308" s="806"/>
    </row>
    <row r="309" spans="1:11">
      <c r="A309" s="805"/>
      <c r="B309" s="805"/>
      <c r="C309" s="806"/>
      <c r="D309" s="820"/>
      <c r="E309" s="806"/>
      <c r="F309" s="806"/>
      <c r="K309" s="806"/>
    </row>
    <row r="310" spans="1:11">
      <c r="A310" s="805"/>
      <c r="B310" s="805"/>
      <c r="C310" s="806"/>
      <c r="D310" s="820"/>
      <c r="E310" s="806"/>
      <c r="F310" s="806"/>
      <c r="K310" s="806"/>
    </row>
    <row r="311" spans="1:11">
      <c r="A311" s="806"/>
      <c r="B311" s="806"/>
      <c r="C311" s="806"/>
      <c r="D311" s="10" t="s">
        <v>285</v>
      </c>
      <c r="E311" s="16"/>
      <c r="F311" s="5" t="s">
        <v>4116</v>
      </c>
      <c r="K311" s="806"/>
    </row>
    <row r="312" spans="1:11">
      <c r="A312" s="806"/>
      <c r="B312" s="806"/>
      <c r="C312" s="806"/>
      <c r="D312" s="15">
        <v>2016</v>
      </c>
      <c r="E312" s="806"/>
      <c r="F312" s="18" t="s">
        <v>286</v>
      </c>
      <c r="K312" s="806"/>
    </row>
    <row r="313" spans="1:11">
      <c r="A313" s="805" t="s">
        <v>15565</v>
      </c>
      <c r="C313" s="806"/>
      <c r="D313" s="809">
        <f t="shared" ref="D313" si="42">SUM(D314:D339)</f>
        <v>85867</v>
      </c>
      <c r="E313" s="806"/>
      <c r="F313" s="806"/>
      <c r="K313" s="806"/>
    </row>
    <row r="314" spans="1:11">
      <c r="A314" s="805" t="s">
        <v>812</v>
      </c>
      <c r="B314" s="805" t="s">
        <v>15566</v>
      </c>
      <c r="C314" s="292" t="s">
        <v>15567</v>
      </c>
      <c r="D314" s="293">
        <v>4513</v>
      </c>
      <c r="E314" s="806"/>
      <c r="F314" s="805" t="s">
        <v>15246</v>
      </c>
      <c r="G314" s="292"/>
      <c r="I314" s="292"/>
      <c r="J314" s="806"/>
      <c r="K314" s="806"/>
    </row>
    <row r="315" spans="1:11">
      <c r="A315" s="805" t="s">
        <v>813</v>
      </c>
      <c r="B315" s="805" t="s">
        <v>15568</v>
      </c>
      <c r="C315" s="292" t="s">
        <v>15569</v>
      </c>
      <c r="D315" s="293">
        <v>4861</v>
      </c>
      <c r="E315" s="806"/>
      <c r="F315" s="805" t="s">
        <v>15254</v>
      </c>
      <c r="G315" s="292"/>
      <c r="I315" s="292"/>
      <c r="J315" s="806"/>
      <c r="K315" s="806"/>
    </row>
    <row r="316" spans="1:11">
      <c r="A316" s="805" t="s">
        <v>814</v>
      </c>
      <c r="B316" s="805" t="s">
        <v>15570</v>
      </c>
      <c r="C316" s="292" t="s">
        <v>15571</v>
      </c>
      <c r="D316" s="295">
        <v>1561</v>
      </c>
      <c r="E316" s="806"/>
      <c r="F316" s="805" t="s">
        <v>15258</v>
      </c>
      <c r="G316" s="292"/>
      <c r="I316" s="292"/>
      <c r="J316" s="806"/>
      <c r="K316" s="806"/>
    </row>
    <row r="317" spans="1:11">
      <c r="A317" s="805" t="s">
        <v>815</v>
      </c>
      <c r="B317" s="805" t="s">
        <v>15572</v>
      </c>
      <c r="C317" s="292" t="s">
        <v>15573</v>
      </c>
      <c r="D317" s="293">
        <v>1513</v>
      </c>
      <c r="E317" s="806"/>
      <c r="F317" s="805" t="s">
        <v>15254</v>
      </c>
      <c r="G317" s="292"/>
      <c r="I317" s="292"/>
      <c r="J317" s="806"/>
      <c r="K317" s="806"/>
    </row>
    <row r="318" spans="1:11">
      <c r="A318" s="805" t="s">
        <v>816</v>
      </c>
      <c r="B318" s="805" t="s">
        <v>15574</v>
      </c>
      <c r="C318" s="292" t="s">
        <v>15575</v>
      </c>
      <c r="D318" s="293">
        <v>3589</v>
      </c>
      <c r="E318" s="806"/>
      <c r="F318" s="805" t="s">
        <v>15254</v>
      </c>
      <c r="G318" s="292"/>
      <c r="I318" s="292"/>
      <c r="J318" s="806"/>
      <c r="K318" s="806"/>
    </row>
    <row r="319" spans="1:11">
      <c r="A319" s="805" t="s">
        <v>826</v>
      </c>
      <c r="B319" s="805" t="s">
        <v>15576</v>
      </c>
      <c r="C319" s="292" t="s">
        <v>15577</v>
      </c>
      <c r="D319" s="295">
        <v>3616</v>
      </c>
      <c r="E319" s="806"/>
      <c r="F319" s="805" t="s">
        <v>15258</v>
      </c>
      <c r="G319" s="292"/>
      <c r="I319" s="292"/>
      <c r="J319" s="806"/>
      <c r="K319" s="806"/>
    </row>
    <row r="320" spans="1:11">
      <c r="A320" s="805" t="s">
        <v>827</v>
      </c>
      <c r="B320" s="805" t="s">
        <v>15578</v>
      </c>
      <c r="C320" s="292" t="s">
        <v>15579</v>
      </c>
      <c r="D320" s="295">
        <v>3015</v>
      </c>
      <c r="E320" s="806"/>
      <c r="F320" s="805" t="s">
        <v>15258</v>
      </c>
      <c r="G320" s="292"/>
      <c r="I320" s="292"/>
      <c r="J320" s="806"/>
      <c r="K320" s="806"/>
    </row>
    <row r="321" spans="1:11">
      <c r="A321" s="805" t="s">
        <v>828</v>
      </c>
      <c r="B321" s="805" t="s">
        <v>15580</v>
      </c>
      <c r="C321" s="292" t="s">
        <v>15581</v>
      </c>
      <c r="D321" s="293">
        <v>1498</v>
      </c>
      <c r="E321" s="806"/>
      <c r="F321" s="805" t="s">
        <v>15254</v>
      </c>
      <c r="G321" s="292"/>
      <c r="I321" s="292"/>
      <c r="J321" s="806"/>
      <c r="K321" s="806"/>
    </row>
    <row r="322" spans="1:11">
      <c r="A322" s="805" t="s">
        <v>829</v>
      </c>
      <c r="B322" s="805" t="s">
        <v>15582</v>
      </c>
      <c r="C322" s="292" t="s">
        <v>15583</v>
      </c>
      <c r="D322" s="293">
        <v>3724</v>
      </c>
      <c r="E322" s="806"/>
      <c r="F322" s="805" t="s">
        <v>15254</v>
      </c>
      <c r="G322" s="292"/>
      <c r="I322" s="292"/>
      <c r="J322" s="806"/>
      <c r="K322" s="806"/>
    </row>
    <row r="323" spans="1:11">
      <c r="A323" s="805" t="s">
        <v>830</v>
      </c>
      <c r="B323" s="805" t="s">
        <v>15584</v>
      </c>
      <c r="C323" s="292" t="s">
        <v>15585</v>
      </c>
      <c r="D323" s="293">
        <v>4801</v>
      </c>
      <c r="E323" s="806"/>
      <c r="F323" s="805" t="s">
        <v>15254</v>
      </c>
      <c r="G323" s="292"/>
      <c r="I323" s="292"/>
      <c r="J323" s="806"/>
      <c r="K323" s="806"/>
    </row>
    <row r="324" spans="1:11">
      <c r="A324" s="805" t="s">
        <v>831</v>
      </c>
      <c r="B324" s="805" t="s">
        <v>15586</v>
      </c>
      <c r="C324" s="292" t="s">
        <v>15587</v>
      </c>
      <c r="D324" s="293">
        <v>2675</v>
      </c>
      <c r="E324" s="806"/>
      <c r="F324" s="805" t="s">
        <v>15254</v>
      </c>
      <c r="G324" s="292"/>
      <c r="I324" s="292"/>
      <c r="J324" s="806"/>
      <c r="K324" s="806"/>
    </row>
    <row r="325" spans="1:11">
      <c r="A325" s="805" t="s">
        <v>832</v>
      </c>
      <c r="B325" s="805" t="s">
        <v>15588</v>
      </c>
      <c r="C325" s="292" t="s">
        <v>15589</v>
      </c>
      <c r="D325" s="293">
        <v>4731</v>
      </c>
      <c r="E325" s="806"/>
      <c r="F325" s="805" t="s">
        <v>15246</v>
      </c>
      <c r="G325" s="292"/>
      <c r="I325" s="292"/>
      <c r="J325" s="806"/>
      <c r="K325" s="806"/>
    </row>
    <row r="326" spans="1:11">
      <c r="A326" s="805" t="s">
        <v>833</v>
      </c>
      <c r="B326" s="805" t="s">
        <v>15590</v>
      </c>
      <c r="C326" s="292" t="s">
        <v>15591</v>
      </c>
      <c r="D326" s="293">
        <v>3287</v>
      </c>
      <c r="E326" s="806"/>
      <c r="F326" s="805" t="s">
        <v>15254</v>
      </c>
      <c r="G326" s="292"/>
      <c r="I326" s="292"/>
      <c r="J326" s="806"/>
      <c r="K326" s="806"/>
    </row>
    <row r="327" spans="1:11">
      <c r="A327" s="805" t="s">
        <v>834</v>
      </c>
      <c r="B327" s="805" t="s">
        <v>15592</v>
      </c>
      <c r="C327" s="292" t="s">
        <v>15593</v>
      </c>
      <c r="D327" s="293">
        <v>3241</v>
      </c>
      <c r="E327" s="806"/>
      <c r="F327" s="805" t="s">
        <v>15254</v>
      </c>
      <c r="G327" s="292"/>
      <c r="I327" s="292"/>
      <c r="J327" s="806"/>
      <c r="K327" s="806"/>
    </row>
    <row r="328" spans="1:11">
      <c r="A328" s="805" t="s">
        <v>835</v>
      </c>
      <c r="B328" s="805" t="s">
        <v>15594</v>
      </c>
      <c r="C328" s="292" t="s">
        <v>15595</v>
      </c>
      <c r="D328" s="295">
        <v>1690</v>
      </c>
      <c r="E328" s="806"/>
      <c r="F328" s="805" t="s">
        <v>15258</v>
      </c>
      <c r="G328" s="292"/>
      <c r="I328" s="292"/>
      <c r="J328" s="806"/>
      <c r="K328" s="806"/>
    </row>
    <row r="329" spans="1:11">
      <c r="A329" s="805" t="s">
        <v>836</v>
      </c>
      <c r="B329" s="805" t="s">
        <v>15596</v>
      </c>
      <c r="C329" s="292" t="s">
        <v>15597</v>
      </c>
      <c r="D329" s="293">
        <v>3485</v>
      </c>
      <c r="E329" s="806"/>
      <c r="F329" s="805" t="s">
        <v>15254</v>
      </c>
      <c r="G329" s="292"/>
      <c r="I329" s="292"/>
      <c r="J329" s="806"/>
      <c r="K329" s="806"/>
    </row>
    <row r="330" spans="1:11">
      <c r="A330" s="805" t="s">
        <v>837</v>
      </c>
      <c r="B330" s="805" t="s">
        <v>15598</v>
      </c>
      <c r="C330" s="292" t="s">
        <v>15599</v>
      </c>
      <c r="D330" s="295">
        <v>1966</v>
      </c>
      <c r="E330" s="806"/>
      <c r="F330" s="805" t="s">
        <v>15258</v>
      </c>
      <c r="G330" s="292"/>
      <c r="I330" s="292"/>
      <c r="J330" s="806"/>
      <c r="K330" s="806"/>
    </row>
    <row r="331" spans="1:11">
      <c r="A331" s="805" t="s">
        <v>838</v>
      </c>
      <c r="B331" s="805" t="s">
        <v>15600</v>
      </c>
      <c r="C331" s="292" t="s">
        <v>15601</v>
      </c>
      <c r="D331" s="293">
        <v>3045</v>
      </c>
      <c r="E331" s="806"/>
      <c r="F331" s="805" t="s">
        <v>15254</v>
      </c>
      <c r="G331" s="292"/>
      <c r="I331" s="292"/>
      <c r="J331" s="806"/>
      <c r="K331" s="806"/>
    </row>
    <row r="332" spans="1:11">
      <c r="A332" s="805" t="s">
        <v>840</v>
      </c>
      <c r="B332" s="805" t="s">
        <v>15602</v>
      </c>
      <c r="C332" s="292" t="s">
        <v>15603</v>
      </c>
      <c r="D332" s="293">
        <v>2924</v>
      </c>
      <c r="E332" s="806"/>
      <c r="F332" s="805" t="s">
        <v>15254</v>
      </c>
      <c r="G332" s="292"/>
      <c r="I332" s="292"/>
      <c r="J332" s="806"/>
      <c r="K332" s="806"/>
    </row>
    <row r="333" spans="1:11">
      <c r="A333" s="805" t="s">
        <v>841</v>
      </c>
      <c r="B333" s="805" t="s">
        <v>15604</v>
      </c>
      <c r="C333" s="292" t="s">
        <v>15605</v>
      </c>
      <c r="D333" s="293">
        <v>3561</v>
      </c>
      <c r="E333" s="806"/>
      <c r="F333" s="805" t="s">
        <v>15254</v>
      </c>
      <c r="G333" s="292"/>
      <c r="I333" s="292"/>
      <c r="J333" s="806"/>
      <c r="K333" s="806"/>
    </row>
    <row r="334" spans="1:11">
      <c r="A334" s="805" t="s">
        <v>878</v>
      </c>
      <c r="B334" s="805" t="s">
        <v>15606</v>
      </c>
      <c r="C334" s="292" t="s">
        <v>15607</v>
      </c>
      <c r="D334" s="295">
        <v>3030</v>
      </c>
      <c r="E334" s="806"/>
      <c r="F334" s="805" t="s">
        <v>15254</v>
      </c>
      <c r="G334" s="292"/>
      <c r="I334" s="292"/>
      <c r="J334" s="806"/>
      <c r="K334" s="806"/>
    </row>
    <row r="335" spans="1:11">
      <c r="A335" s="805" t="s">
        <v>879</v>
      </c>
      <c r="B335" s="805" t="s">
        <v>15608</v>
      </c>
      <c r="C335" s="292" t="s">
        <v>15609</v>
      </c>
      <c r="D335" s="295">
        <v>4351</v>
      </c>
      <c r="E335" s="806"/>
      <c r="F335" s="805" t="s">
        <v>15254</v>
      </c>
      <c r="G335" s="292"/>
      <c r="I335" s="292"/>
      <c r="J335" s="806"/>
      <c r="K335" s="806"/>
    </row>
    <row r="336" spans="1:11">
      <c r="A336" s="805" t="s">
        <v>880</v>
      </c>
      <c r="B336" s="805" t="s">
        <v>15610</v>
      </c>
      <c r="C336" s="292" t="s">
        <v>15611</v>
      </c>
      <c r="D336" s="295">
        <v>4299</v>
      </c>
      <c r="E336" s="806"/>
      <c r="F336" s="805" t="s">
        <v>15254</v>
      </c>
      <c r="G336" s="292"/>
      <c r="I336" s="292"/>
      <c r="J336" s="806"/>
      <c r="K336" s="806"/>
    </row>
    <row r="337" spans="1:11">
      <c r="A337" s="805" t="s">
        <v>721</v>
      </c>
      <c r="B337" s="805" t="s">
        <v>15612</v>
      </c>
      <c r="C337" s="292" t="s">
        <v>15613</v>
      </c>
      <c r="D337" s="295">
        <v>3004</v>
      </c>
      <c r="E337" s="806"/>
      <c r="F337" s="805" t="s">
        <v>15254</v>
      </c>
      <c r="G337" s="292"/>
      <c r="I337" s="292"/>
      <c r="J337" s="806"/>
      <c r="K337" s="806"/>
    </row>
    <row r="338" spans="1:11">
      <c r="A338" s="805" t="s">
        <v>722</v>
      </c>
      <c r="B338" s="805" t="s">
        <v>15614</v>
      </c>
      <c r="C338" s="292" t="s">
        <v>15615</v>
      </c>
      <c r="D338" s="295">
        <v>4603</v>
      </c>
      <c r="E338" s="806"/>
      <c r="F338" s="805" t="s">
        <v>15254</v>
      </c>
      <c r="G338" s="292"/>
      <c r="I338" s="292"/>
      <c r="J338" s="806"/>
      <c r="K338" s="806"/>
    </row>
    <row r="339" spans="1:11">
      <c r="A339" s="805" t="s">
        <v>723</v>
      </c>
      <c r="B339" s="805" t="s">
        <v>15616</v>
      </c>
      <c r="C339" s="292" t="s">
        <v>15617</v>
      </c>
      <c r="D339" s="295">
        <v>3284</v>
      </c>
      <c r="E339" s="806"/>
      <c r="F339" s="805" t="s">
        <v>15254</v>
      </c>
      <c r="G339" s="292"/>
      <c r="I339" s="292"/>
      <c r="J339" s="806"/>
      <c r="K339" s="806"/>
    </row>
    <row r="340" spans="1:11">
      <c r="A340" s="806"/>
      <c r="B340" s="806"/>
      <c r="C340" s="806"/>
      <c r="D340" s="806"/>
      <c r="E340" s="806"/>
      <c r="F340" s="806"/>
      <c r="K340" s="806"/>
    </row>
    <row r="341" spans="1:11">
      <c r="A341" s="805" t="s">
        <v>15513</v>
      </c>
      <c r="C341" s="806"/>
      <c r="D341" s="809">
        <f>D314+D325</f>
        <v>9244</v>
      </c>
      <c r="E341" s="806"/>
      <c r="F341" s="806"/>
      <c r="K341" s="806"/>
    </row>
    <row r="342" spans="1:11">
      <c r="A342" s="805" t="s">
        <v>15618</v>
      </c>
      <c r="C342" s="806"/>
      <c r="D342" s="809">
        <f>D315+D317+D318+SUM(D321:D324)+D326+D327+D329+SUM(D331:D339)</f>
        <v>64775</v>
      </c>
      <c r="E342" s="806"/>
      <c r="F342" s="806"/>
      <c r="K342" s="806"/>
    </row>
    <row r="343" spans="1:11">
      <c r="A343" s="805" t="s">
        <v>15619</v>
      </c>
      <c r="C343" s="806"/>
      <c r="D343" s="809">
        <f>D316+D319+D320+D328+D330</f>
        <v>11848</v>
      </c>
      <c r="E343" s="806"/>
      <c r="F343" s="806"/>
      <c r="K343" s="806"/>
    </row>
    <row r="344" spans="1:11">
      <c r="A344" s="805"/>
      <c r="B344" s="805"/>
      <c r="C344" s="806"/>
      <c r="D344" s="809"/>
      <c r="E344" s="806"/>
      <c r="F344" s="806"/>
      <c r="K344" s="806"/>
    </row>
    <row r="345" spans="1:11">
      <c r="A345" s="808" t="s">
        <v>15620</v>
      </c>
      <c r="C345" s="806"/>
      <c r="E345" s="806"/>
      <c r="F345" s="806"/>
      <c r="K345" s="806"/>
    </row>
    <row r="346" spans="1:11">
      <c r="A346" s="808" t="s">
        <v>15621</v>
      </c>
      <c r="C346" s="806"/>
      <c r="E346" s="806"/>
      <c r="F346" s="806"/>
      <c r="K346" s="806"/>
    </row>
    <row r="347" spans="1:11">
      <c r="A347" s="805"/>
      <c r="B347" s="805"/>
      <c r="C347" s="806"/>
      <c r="D347" s="820"/>
      <c r="E347" s="806"/>
      <c r="F347" s="806"/>
      <c r="K347" s="806"/>
    </row>
    <row r="348" spans="1:11">
      <c r="A348" s="805"/>
      <c r="B348" s="805"/>
      <c r="C348" s="806"/>
      <c r="D348" s="820"/>
      <c r="E348" s="806"/>
      <c r="F348" s="806"/>
      <c r="K348" s="806"/>
    </row>
    <row r="349" spans="1:11">
      <c r="A349" s="806"/>
      <c r="B349" s="806"/>
      <c r="C349" s="806"/>
      <c r="D349" s="10" t="s">
        <v>285</v>
      </c>
      <c r="E349" s="16"/>
      <c r="F349" s="5" t="s">
        <v>4116</v>
      </c>
      <c r="K349" s="806"/>
    </row>
    <row r="350" spans="1:11">
      <c r="A350" s="806"/>
      <c r="B350" s="806"/>
      <c r="C350" s="806"/>
      <c r="D350" s="15">
        <v>2016</v>
      </c>
      <c r="E350" s="806"/>
      <c r="F350" s="18" t="s">
        <v>286</v>
      </c>
      <c r="K350" s="806"/>
    </row>
    <row r="351" spans="1:11">
      <c r="A351" s="805" t="s">
        <v>15622</v>
      </c>
      <c r="C351" s="806"/>
      <c r="D351" s="809">
        <f t="shared" ref="D351" si="43">SUM(D352:D364)</f>
        <v>77333</v>
      </c>
      <c r="E351" s="806"/>
      <c r="F351" s="806"/>
      <c r="K351" s="806"/>
    </row>
    <row r="352" spans="1:11">
      <c r="A352" s="805" t="s">
        <v>812</v>
      </c>
      <c r="B352" s="805" t="s">
        <v>15623</v>
      </c>
      <c r="C352" s="292" t="s">
        <v>15624</v>
      </c>
      <c r="D352" s="293">
        <v>2747</v>
      </c>
      <c r="E352" s="806"/>
      <c r="F352" s="805" t="s">
        <v>15244</v>
      </c>
      <c r="G352" s="292"/>
      <c r="I352" s="292"/>
      <c r="J352" s="806"/>
      <c r="K352" s="806"/>
    </row>
    <row r="353" spans="1:11">
      <c r="A353" s="805" t="s">
        <v>813</v>
      </c>
      <c r="B353" s="805" t="s">
        <v>15625</v>
      </c>
      <c r="C353" s="292" t="s">
        <v>15626</v>
      </c>
      <c r="D353" s="293">
        <v>8180</v>
      </c>
      <c r="E353" s="806"/>
      <c r="F353" s="805" t="s">
        <v>15244</v>
      </c>
      <c r="G353" s="292"/>
      <c r="I353" s="292"/>
      <c r="J353" s="806"/>
      <c r="K353" s="806"/>
    </row>
    <row r="354" spans="1:11">
      <c r="A354" s="805" t="s">
        <v>814</v>
      </c>
      <c r="B354" s="805" t="s">
        <v>15627</v>
      </c>
      <c r="C354" s="292" t="s">
        <v>15628</v>
      </c>
      <c r="D354" s="293">
        <v>7593</v>
      </c>
      <c r="E354" s="806"/>
      <c r="F354" s="805" t="s">
        <v>15244</v>
      </c>
      <c r="G354" s="292"/>
      <c r="I354" s="292"/>
      <c r="J354" s="806"/>
      <c r="K354" s="806"/>
    </row>
    <row r="355" spans="1:11">
      <c r="A355" s="805" t="s">
        <v>815</v>
      </c>
      <c r="B355" s="805" t="s">
        <v>15629</v>
      </c>
      <c r="C355" s="292" t="s">
        <v>15630</v>
      </c>
      <c r="D355" s="293">
        <v>6417</v>
      </c>
      <c r="E355" s="806"/>
      <c r="F355" s="805" t="s">
        <v>15244</v>
      </c>
      <c r="G355" s="292"/>
      <c r="I355" s="292"/>
      <c r="J355" s="806"/>
      <c r="K355" s="806"/>
    </row>
    <row r="356" spans="1:11">
      <c r="A356" s="805" t="s">
        <v>816</v>
      </c>
      <c r="B356" s="805" t="s">
        <v>15631</v>
      </c>
      <c r="C356" s="292" t="s">
        <v>15632</v>
      </c>
      <c r="D356" s="293">
        <v>4362</v>
      </c>
      <c r="E356" s="806"/>
      <c r="F356" s="805" t="s">
        <v>15244</v>
      </c>
      <c r="G356" s="292"/>
      <c r="I356" s="292"/>
      <c r="J356" s="806"/>
      <c r="K356" s="806"/>
    </row>
    <row r="357" spans="1:11">
      <c r="A357" s="805" t="s">
        <v>826</v>
      </c>
      <c r="B357" s="805" t="s">
        <v>15633</v>
      </c>
      <c r="C357" s="292" t="s">
        <v>15634</v>
      </c>
      <c r="D357" s="293">
        <v>8884</v>
      </c>
      <c r="E357" s="806"/>
      <c r="F357" s="805" t="s">
        <v>15244</v>
      </c>
      <c r="G357" s="292"/>
      <c r="I357" s="292"/>
      <c r="J357" s="806"/>
      <c r="K357" s="806"/>
    </row>
    <row r="358" spans="1:11">
      <c r="A358" s="805" t="s">
        <v>827</v>
      </c>
      <c r="B358" s="805" t="s">
        <v>15635</v>
      </c>
      <c r="C358" s="292" t="s">
        <v>15636</v>
      </c>
      <c r="D358" s="293">
        <v>4615</v>
      </c>
      <c r="E358" s="806"/>
      <c r="F358" s="805" t="s">
        <v>15244</v>
      </c>
      <c r="G358" s="292"/>
      <c r="I358" s="292"/>
      <c r="J358" s="806"/>
      <c r="K358" s="806"/>
    </row>
    <row r="359" spans="1:11">
      <c r="A359" s="805" t="s">
        <v>828</v>
      </c>
      <c r="B359" s="805" t="s">
        <v>15637</v>
      </c>
      <c r="C359" s="292" t="s">
        <v>15638</v>
      </c>
      <c r="D359" s="293">
        <v>5570</v>
      </c>
      <c r="E359" s="806"/>
      <c r="F359" s="805" t="s">
        <v>15244</v>
      </c>
      <c r="G359" s="292"/>
      <c r="I359" s="292"/>
      <c r="J359" s="806"/>
      <c r="K359" s="806"/>
    </row>
    <row r="360" spans="1:11">
      <c r="A360" s="805" t="s">
        <v>829</v>
      </c>
      <c r="B360" s="805" t="s">
        <v>15639</v>
      </c>
      <c r="C360" s="292" t="s">
        <v>15640</v>
      </c>
      <c r="D360" s="293">
        <v>8468</v>
      </c>
      <c r="E360" s="806"/>
      <c r="F360" s="805" t="s">
        <v>15244</v>
      </c>
      <c r="G360" s="292"/>
      <c r="I360" s="292"/>
      <c r="J360" s="806"/>
      <c r="K360" s="806"/>
    </row>
    <row r="361" spans="1:11">
      <c r="A361" s="805" t="s">
        <v>830</v>
      </c>
      <c r="B361" s="805" t="s">
        <v>15641</v>
      </c>
      <c r="C361" s="292" t="s">
        <v>15642</v>
      </c>
      <c r="D361" s="293">
        <v>4843</v>
      </c>
      <c r="E361" s="806"/>
      <c r="F361" s="805" t="s">
        <v>15244</v>
      </c>
      <c r="G361" s="292"/>
      <c r="I361" s="292"/>
      <c r="J361" s="806"/>
      <c r="K361" s="806"/>
    </row>
    <row r="362" spans="1:11">
      <c r="A362" s="805" t="s">
        <v>831</v>
      </c>
      <c r="B362" s="805" t="s">
        <v>15643</v>
      </c>
      <c r="C362" s="292" t="s">
        <v>15644</v>
      </c>
      <c r="D362" s="293">
        <v>5767</v>
      </c>
      <c r="E362" s="806"/>
      <c r="F362" s="805" t="s">
        <v>15244</v>
      </c>
      <c r="G362" s="292"/>
      <c r="I362" s="292"/>
      <c r="J362" s="806"/>
      <c r="K362" s="806"/>
    </row>
    <row r="363" spans="1:11">
      <c r="A363" s="805" t="s">
        <v>832</v>
      </c>
      <c r="B363" s="805" t="s">
        <v>15645</v>
      </c>
      <c r="C363" s="292" t="s">
        <v>15646</v>
      </c>
      <c r="D363" s="293">
        <v>4076</v>
      </c>
      <c r="E363" s="806"/>
      <c r="F363" s="805" t="s">
        <v>15244</v>
      </c>
      <c r="G363" s="292"/>
      <c r="I363" s="292"/>
      <c r="J363" s="806"/>
      <c r="K363" s="806"/>
    </row>
    <row r="364" spans="1:11">
      <c r="A364" s="805" t="s">
        <v>833</v>
      </c>
      <c r="B364" s="805" t="s">
        <v>15647</v>
      </c>
      <c r="C364" s="292" t="s">
        <v>15648</v>
      </c>
      <c r="D364" s="293">
        <v>5811</v>
      </c>
      <c r="E364" s="806"/>
      <c r="F364" s="805" t="s">
        <v>15244</v>
      </c>
      <c r="G364" s="292"/>
      <c r="I364" s="292"/>
      <c r="J364" s="806"/>
      <c r="K364" s="806"/>
    </row>
    <row r="365" spans="1:11">
      <c r="A365" s="806"/>
      <c r="B365" s="806"/>
      <c r="C365" s="806"/>
      <c r="D365" s="814"/>
      <c r="E365" s="806"/>
      <c r="F365" s="806"/>
      <c r="J365" s="806"/>
      <c r="K365" s="806"/>
    </row>
    <row r="366" spans="1:11">
      <c r="A366" s="805" t="s">
        <v>15244</v>
      </c>
      <c r="C366" s="806"/>
      <c r="D366" s="809">
        <f t="shared" ref="D366" si="44">SUM(D352:D364)</f>
        <v>77333</v>
      </c>
      <c r="E366" s="806"/>
      <c r="F366" s="806"/>
      <c r="J366" s="806"/>
      <c r="K366" s="806"/>
    </row>
    <row r="367" spans="1:11">
      <c r="A367" s="805"/>
      <c r="C367" s="806"/>
      <c r="D367" s="809"/>
      <c r="E367" s="806"/>
      <c r="F367" s="806"/>
      <c r="J367" s="806"/>
      <c r="K367" s="806"/>
    </row>
    <row r="368" spans="1:11">
      <c r="A368" s="805" t="s">
        <v>15649</v>
      </c>
      <c r="C368" s="806"/>
      <c r="D368" s="809"/>
      <c r="E368" s="806"/>
      <c r="F368" s="806"/>
      <c r="J368" s="806"/>
      <c r="K368" s="806"/>
    </row>
    <row r="369" spans="1:11">
      <c r="A369" s="805"/>
      <c r="B369" s="805"/>
      <c r="C369" s="806"/>
      <c r="D369" s="820"/>
      <c r="E369" s="806"/>
      <c r="F369" s="806"/>
      <c r="J369" s="806"/>
      <c r="K369" s="806"/>
    </row>
    <row r="370" spans="1:11">
      <c r="A370" s="805"/>
      <c r="B370" s="805"/>
      <c r="C370" s="806"/>
      <c r="D370" s="820"/>
      <c r="E370" s="806"/>
      <c r="F370" s="806"/>
      <c r="J370" s="806"/>
      <c r="K370" s="806"/>
    </row>
    <row r="371" spans="1:11">
      <c r="A371" s="806"/>
      <c r="B371" s="806"/>
      <c r="C371" s="806"/>
      <c r="D371" s="10" t="s">
        <v>285</v>
      </c>
      <c r="E371" s="16"/>
      <c r="F371" s="5" t="s">
        <v>4116</v>
      </c>
      <c r="J371" s="806"/>
      <c r="K371" s="806"/>
    </row>
    <row r="372" spans="1:11">
      <c r="A372" s="806"/>
      <c r="B372" s="806"/>
      <c r="C372" s="806"/>
      <c r="D372" s="15">
        <v>2016</v>
      </c>
      <c r="E372" s="806"/>
      <c r="F372" s="18" t="s">
        <v>286</v>
      </c>
      <c r="J372" s="806"/>
      <c r="K372" s="806"/>
    </row>
    <row r="373" spans="1:11">
      <c r="A373" s="805" t="s">
        <v>15650</v>
      </c>
      <c r="C373" s="806"/>
      <c r="D373" s="809">
        <f t="shared" ref="D373" si="45">SUM(D374:D397)</f>
        <v>96025</v>
      </c>
      <c r="E373" s="806"/>
      <c r="F373" s="806"/>
      <c r="J373" s="806"/>
      <c r="K373" s="806"/>
    </row>
    <row r="374" spans="1:11">
      <c r="A374" s="805" t="s">
        <v>812</v>
      </c>
      <c r="B374" s="805" t="s">
        <v>998</v>
      </c>
      <c r="C374" s="292" t="s">
        <v>15651</v>
      </c>
      <c r="D374" s="316">
        <v>3835</v>
      </c>
      <c r="E374" s="806"/>
      <c r="F374" s="805" t="s">
        <v>15235</v>
      </c>
      <c r="G374" s="292"/>
      <c r="I374" s="292"/>
      <c r="J374" s="806"/>
      <c r="K374" s="806"/>
    </row>
    <row r="375" spans="1:11">
      <c r="A375" s="805" t="s">
        <v>813</v>
      </c>
      <c r="B375" s="805" t="s">
        <v>15652</v>
      </c>
      <c r="C375" s="292" t="s">
        <v>15653</v>
      </c>
      <c r="D375" s="316">
        <v>3895</v>
      </c>
      <c r="E375" s="806"/>
      <c r="F375" s="805" t="s">
        <v>15255</v>
      </c>
      <c r="G375" s="292"/>
      <c r="I375" s="292"/>
      <c r="J375" s="806"/>
      <c r="K375" s="806"/>
    </row>
    <row r="376" spans="1:11">
      <c r="A376" s="805" t="s">
        <v>814</v>
      </c>
      <c r="B376" s="805" t="s">
        <v>15654</v>
      </c>
      <c r="C376" s="292" t="s">
        <v>15655</v>
      </c>
      <c r="D376" s="316">
        <v>4423</v>
      </c>
      <c r="E376" s="806"/>
      <c r="F376" s="805" t="s">
        <v>15255</v>
      </c>
      <c r="G376" s="292"/>
      <c r="I376" s="292"/>
      <c r="J376" s="806"/>
      <c r="K376" s="806"/>
    </row>
    <row r="377" spans="1:11">
      <c r="A377" s="805" t="s">
        <v>815</v>
      </c>
      <c r="B377" s="805" t="s">
        <v>15656</v>
      </c>
      <c r="C377" s="292" t="s">
        <v>15657</v>
      </c>
      <c r="D377" s="316">
        <v>4277</v>
      </c>
      <c r="E377" s="806"/>
      <c r="F377" s="805" t="s">
        <v>15235</v>
      </c>
      <c r="G377" s="292"/>
      <c r="I377" s="292"/>
      <c r="J377" s="806"/>
      <c r="K377" s="806"/>
    </row>
    <row r="378" spans="1:11">
      <c r="A378" s="805" t="s">
        <v>816</v>
      </c>
      <c r="B378" s="805" t="s">
        <v>7360</v>
      </c>
      <c r="C378" s="292" t="s">
        <v>15658</v>
      </c>
      <c r="D378" s="316">
        <v>1914</v>
      </c>
      <c r="E378" s="806"/>
      <c r="F378" s="805" t="s">
        <v>15255</v>
      </c>
      <c r="G378" s="292"/>
      <c r="I378" s="292"/>
      <c r="J378" s="806"/>
      <c r="K378" s="806"/>
    </row>
    <row r="379" spans="1:11">
      <c r="A379" s="805" t="s">
        <v>826</v>
      </c>
      <c r="B379" s="805" t="s">
        <v>15659</v>
      </c>
      <c r="C379" s="292" t="s">
        <v>15660</v>
      </c>
      <c r="D379" s="316">
        <v>2128</v>
      </c>
      <c r="E379" s="806"/>
      <c r="F379" s="805" t="s">
        <v>15235</v>
      </c>
      <c r="G379" s="292"/>
      <c r="I379" s="292"/>
      <c r="J379" s="806"/>
      <c r="K379" s="806"/>
    </row>
    <row r="380" spans="1:11">
      <c r="A380" s="805" t="s">
        <v>827</v>
      </c>
      <c r="B380" s="805" t="s">
        <v>15661</v>
      </c>
      <c r="C380" s="292" t="s">
        <v>15662</v>
      </c>
      <c r="D380" s="316">
        <v>4403</v>
      </c>
      <c r="E380" s="806"/>
      <c r="F380" s="805" t="s">
        <v>15255</v>
      </c>
      <c r="G380" s="292"/>
      <c r="I380" s="292"/>
      <c r="J380" s="806"/>
      <c r="K380" s="806"/>
    </row>
    <row r="381" spans="1:11">
      <c r="A381" s="805" t="s">
        <v>828</v>
      </c>
      <c r="B381" s="805" t="s">
        <v>15663</v>
      </c>
      <c r="C381" s="292" t="s">
        <v>15664</v>
      </c>
      <c r="D381" s="316">
        <v>4569</v>
      </c>
      <c r="E381" s="806"/>
      <c r="F381" s="805" t="s">
        <v>15255</v>
      </c>
      <c r="G381" s="292"/>
      <c r="I381" s="292"/>
      <c r="J381" s="806"/>
      <c r="K381" s="806"/>
    </row>
    <row r="382" spans="1:11">
      <c r="A382" s="805" t="s">
        <v>829</v>
      </c>
      <c r="B382" s="805" t="s">
        <v>15665</v>
      </c>
      <c r="C382" s="292" t="s">
        <v>15666</v>
      </c>
      <c r="D382" s="316">
        <v>4103</v>
      </c>
      <c r="E382" s="806"/>
      <c r="F382" s="805" t="s">
        <v>15255</v>
      </c>
      <c r="G382" s="292"/>
      <c r="I382" s="292"/>
      <c r="J382" s="806"/>
      <c r="K382" s="806"/>
    </row>
    <row r="383" spans="1:11">
      <c r="A383" s="805" t="s">
        <v>830</v>
      </c>
      <c r="B383" s="805" t="s">
        <v>15667</v>
      </c>
      <c r="C383" s="292" t="s">
        <v>15668</v>
      </c>
      <c r="D383" s="316">
        <v>4107</v>
      </c>
      <c r="E383" s="806"/>
      <c r="F383" s="805" t="s">
        <v>15255</v>
      </c>
      <c r="G383" s="292"/>
      <c r="I383" s="292"/>
      <c r="J383" s="806"/>
      <c r="K383" s="806"/>
    </row>
    <row r="384" spans="1:11">
      <c r="A384" s="805" t="s">
        <v>831</v>
      </c>
      <c r="B384" s="805" t="s">
        <v>15669</v>
      </c>
      <c r="C384" s="292" t="s">
        <v>15670</v>
      </c>
      <c r="D384" s="316">
        <v>5652</v>
      </c>
      <c r="E384" s="806"/>
      <c r="F384" s="805" t="s">
        <v>15255</v>
      </c>
      <c r="G384" s="292"/>
      <c r="I384" s="292"/>
      <c r="J384" s="806"/>
      <c r="K384" s="806"/>
    </row>
    <row r="385" spans="1:11">
      <c r="A385" s="805" t="s">
        <v>832</v>
      </c>
      <c r="B385" s="805" t="s">
        <v>15671</v>
      </c>
      <c r="C385" s="292" t="s">
        <v>15672</v>
      </c>
      <c r="D385" s="316">
        <v>3905</v>
      </c>
      <c r="E385" s="806"/>
      <c r="F385" s="805" t="s">
        <v>15255</v>
      </c>
      <c r="G385" s="292"/>
      <c r="I385" s="292"/>
      <c r="J385" s="806"/>
      <c r="K385" s="806"/>
    </row>
    <row r="386" spans="1:11">
      <c r="A386" s="805" t="s">
        <v>833</v>
      </c>
      <c r="B386" s="805" t="s">
        <v>502</v>
      </c>
      <c r="C386" s="292" t="s">
        <v>15673</v>
      </c>
      <c r="D386" s="316">
        <v>1978</v>
      </c>
      <c r="E386" s="806"/>
      <c r="F386" s="805" t="s">
        <v>15235</v>
      </c>
      <c r="G386" s="292"/>
      <c r="I386" s="292"/>
      <c r="J386" s="806"/>
      <c r="K386" s="806"/>
    </row>
    <row r="387" spans="1:11">
      <c r="A387" s="805" t="s">
        <v>834</v>
      </c>
      <c r="B387" s="805" t="s">
        <v>15674</v>
      </c>
      <c r="C387" s="292" t="s">
        <v>15675</v>
      </c>
      <c r="D387" s="316">
        <v>5375</v>
      </c>
      <c r="E387" s="806"/>
      <c r="F387" s="805" t="s">
        <v>15255</v>
      </c>
      <c r="G387" s="292"/>
      <c r="I387" s="292"/>
      <c r="J387" s="806"/>
      <c r="K387" s="806"/>
    </row>
    <row r="388" spans="1:11">
      <c r="A388" s="805" t="s">
        <v>835</v>
      </c>
      <c r="B388" s="805" t="s">
        <v>15676</v>
      </c>
      <c r="C388" s="292" t="s">
        <v>15677</v>
      </c>
      <c r="D388" s="316">
        <v>4287</v>
      </c>
      <c r="E388" s="806"/>
      <c r="F388" s="805" t="s">
        <v>15255</v>
      </c>
      <c r="G388" s="292"/>
      <c r="I388" s="292"/>
      <c r="J388" s="806"/>
      <c r="K388" s="806"/>
    </row>
    <row r="389" spans="1:11">
      <c r="A389" s="805" t="s">
        <v>836</v>
      </c>
      <c r="B389" s="805" t="s">
        <v>5648</v>
      </c>
      <c r="C389" s="292" t="s">
        <v>15678</v>
      </c>
      <c r="D389" s="316">
        <v>3906</v>
      </c>
      <c r="E389" s="806"/>
      <c r="F389" s="805" t="s">
        <v>15235</v>
      </c>
      <c r="G389" s="292"/>
      <c r="I389" s="292"/>
      <c r="J389" s="806"/>
      <c r="K389" s="806"/>
    </row>
    <row r="390" spans="1:11">
      <c r="A390" s="805" t="s">
        <v>837</v>
      </c>
      <c r="B390" s="805" t="s">
        <v>15679</v>
      </c>
      <c r="C390" s="292" t="s">
        <v>15680</v>
      </c>
      <c r="D390" s="316">
        <v>6927</v>
      </c>
      <c r="E390" s="806"/>
      <c r="F390" s="805" t="s">
        <v>15255</v>
      </c>
      <c r="G390" s="292"/>
      <c r="I390" s="292"/>
      <c r="J390" s="806"/>
      <c r="K390" s="806"/>
    </row>
    <row r="391" spans="1:11">
      <c r="A391" s="805" t="s">
        <v>838</v>
      </c>
      <c r="B391" s="805" t="s">
        <v>15681</v>
      </c>
      <c r="C391" s="292" t="s">
        <v>15682</v>
      </c>
      <c r="D391" s="316">
        <v>5815</v>
      </c>
      <c r="E391" s="806"/>
      <c r="F391" s="805" t="s">
        <v>15255</v>
      </c>
      <c r="G391" s="292"/>
      <c r="I391" s="292"/>
      <c r="J391" s="806"/>
      <c r="K391" s="806"/>
    </row>
    <row r="392" spans="1:11">
      <c r="A392" s="805" t="s">
        <v>840</v>
      </c>
      <c r="B392" s="805" t="s">
        <v>15683</v>
      </c>
      <c r="C392" s="292" t="s">
        <v>15684</v>
      </c>
      <c r="D392" s="316">
        <v>3734</v>
      </c>
      <c r="E392" s="806"/>
      <c r="F392" s="805" t="s">
        <v>15255</v>
      </c>
      <c r="G392" s="292"/>
      <c r="I392" s="292"/>
      <c r="J392" s="806"/>
      <c r="K392" s="806"/>
    </row>
    <row r="393" spans="1:11">
      <c r="A393" s="805" t="s">
        <v>841</v>
      </c>
      <c r="B393" s="805" t="s">
        <v>15685</v>
      </c>
      <c r="C393" s="292" t="s">
        <v>15686</v>
      </c>
      <c r="D393" s="316">
        <v>3951</v>
      </c>
      <c r="E393" s="806"/>
      <c r="F393" s="805" t="s">
        <v>15255</v>
      </c>
      <c r="G393" s="292"/>
      <c r="I393" s="292"/>
      <c r="J393" s="806"/>
      <c r="K393" s="806"/>
    </row>
    <row r="394" spans="1:11">
      <c r="A394" s="805" t="s">
        <v>878</v>
      </c>
      <c r="B394" s="805" t="s">
        <v>15687</v>
      </c>
      <c r="C394" s="292" t="s">
        <v>15688</v>
      </c>
      <c r="D394" s="316">
        <v>2075</v>
      </c>
      <c r="E394" s="806"/>
      <c r="F394" s="805" t="s">
        <v>15255</v>
      </c>
      <c r="G394" s="292"/>
      <c r="I394" s="292"/>
      <c r="J394" s="806"/>
      <c r="K394" s="806"/>
    </row>
    <row r="395" spans="1:11">
      <c r="A395" s="805" t="s">
        <v>879</v>
      </c>
      <c r="B395" s="805" t="s">
        <v>8062</v>
      </c>
      <c r="C395" s="292" t="s">
        <v>15689</v>
      </c>
      <c r="D395" s="316">
        <v>4263</v>
      </c>
      <c r="E395" s="806"/>
      <c r="F395" s="805" t="s">
        <v>15235</v>
      </c>
      <c r="G395" s="292"/>
      <c r="I395" s="292"/>
      <c r="J395" s="806"/>
      <c r="K395" s="806"/>
    </row>
    <row r="396" spans="1:11">
      <c r="A396" s="805" t="s">
        <v>880</v>
      </c>
      <c r="B396" s="805" t="s">
        <v>15690</v>
      </c>
      <c r="C396" s="292" t="s">
        <v>15691</v>
      </c>
      <c r="D396" s="316">
        <v>2110</v>
      </c>
      <c r="E396" s="806"/>
      <c r="F396" s="805" t="s">
        <v>15255</v>
      </c>
      <c r="G396" s="292"/>
      <c r="I396" s="292"/>
      <c r="J396" s="806"/>
      <c r="K396" s="806"/>
    </row>
    <row r="397" spans="1:11">
      <c r="A397" s="805" t="s">
        <v>721</v>
      </c>
      <c r="B397" s="805" t="s">
        <v>391</v>
      </c>
      <c r="C397" s="292" t="s">
        <v>15692</v>
      </c>
      <c r="D397" s="316">
        <v>4393</v>
      </c>
      <c r="E397" s="806"/>
      <c r="F397" s="805" t="s">
        <v>15255</v>
      </c>
      <c r="G397" s="292"/>
      <c r="I397" s="292"/>
      <c r="J397" s="806"/>
      <c r="K397" s="806"/>
    </row>
    <row r="398" spans="1:11">
      <c r="A398" s="806"/>
      <c r="B398" s="806"/>
      <c r="C398" s="806"/>
      <c r="D398" s="814"/>
      <c r="E398" s="806"/>
      <c r="F398" s="806"/>
      <c r="J398" s="806"/>
      <c r="K398" s="806"/>
    </row>
    <row r="399" spans="1:11">
      <c r="A399" s="805" t="s">
        <v>15409</v>
      </c>
      <c r="C399" s="806"/>
      <c r="D399" s="809">
        <f t="shared" ref="D399" si="46">D374+D377+D379+D386+D389+D395</f>
        <v>20387</v>
      </c>
      <c r="E399" s="806"/>
      <c r="F399" s="806"/>
      <c r="J399" s="806"/>
      <c r="K399" s="806"/>
    </row>
    <row r="400" spans="1:11">
      <c r="A400" s="805" t="s">
        <v>15255</v>
      </c>
      <c r="C400" s="806"/>
      <c r="D400" s="809">
        <f t="shared" ref="D400" si="47">D375+D376+D378+SUM(D380:D385)+D387+D388+SUM(D390:D394)+D396+D397</f>
        <v>75638</v>
      </c>
      <c r="E400" s="806"/>
      <c r="F400" s="806"/>
      <c r="J400" s="806"/>
      <c r="K400" s="806"/>
    </row>
    <row r="401" spans="1:11">
      <c r="A401" s="805"/>
      <c r="C401" s="806"/>
      <c r="D401" s="809"/>
      <c r="E401" s="806"/>
      <c r="F401" s="806"/>
      <c r="J401" s="806"/>
      <c r="K401" s="806"/>
    </row>
    <row r="402" spans="1:11">
      <c r="A402" s="805" t="s">
        <v>15693</v>
      </c>
      <c r="C402" s="806"/>
      <c r="D402" s="809"/>
      <c r="E402" s="806"/>
      <c r="F402" s="806"/>
      <c r="J402" s="806"/>
      <c r="K402" s="806"/>
    </row>
    <row r="403" spans="1:11">
      <c r="B403" s="805"/>
      <c r="C403" s="806"/>
      <c r="D403" s="820"/>
      <c r="E403" s="806"/>
      <c r="F403" s="806"/>
      <c r="J403" s="806"/>
      <c r="K403" s="806"/>
    </row>
    <row r="404" spans="1:11">
      <c r="A404" s="805"/>
      <c r="B404" s="805"/>
      <c r="C404" s="806"/>
      <c r="D404" s="820"/>
      <c r="E404" s="806"/>
      <c r="F404" s="806"/>
      <c r="J404" s="806"/>
      <c r="K404" s="806"/>
    </row>
    <row r="405" spans="1:11">
      <c r="A405" s="806"/>
      <c r="B405" s="806"/>
      <c r="C405" s="806"/>
      <c r="D405" s="10" t="s">
        <v>285</v>
      </c>
      <c r="E405" s="16"/>
      <c r="F405" s="5" t="s">
        <v>4116</v>
      </c>
      <c r="J405" s="806"/>
      <c r="K405" s="806"/>
    </row>
    <row r="406" spans="1:11">
      <c r="A406" s="806"/>
      <c r="B406" s="806"/>
      <c r="C406" s="806"/>
      <c r="D406" s="15">
        <v>2016</v>
      </c>
      <c r="E406" s="806"/>
      <c r="F406" s="18" t="s">
        <v>286</v>
      </c>
      <c r="J406" s="806"/>
      <c r="K406" s="806"/>
    </row>
    <row r="407" spans="1:11">
      <c r="A407" s="805" t="s">
        <v>15694</v>
      </c>
      <c r="C407" s="806"/>
      <c r="D407" s="809">
        <f t="shared" ref="D407" si="48">SUM(D408:D427)+SUM(D428:D430)</f>
        <v>96967</v>
      </c>
      <c r="E407" s="806"/>
      <c r="F407" s="806"/>
      <c r="J407" s="806"/>
      <c r="K407" s="806"/>
    </row>
    <row r="408" spans="1:11">
      <c r="A408" s="805" t="s">
        <v>812</v>
      </c>
      <c r="B408" s="805" t="s">
        <v>15695</v>
      </c>
      <c r="C408" s="292" t="s">
        <v>15696</v>
      </c>
      <c r="D408" s="293">
        <v>3395</v>
      </c>
      <c r="E408" s="806"/>
      <c r="F408" s="805" t="s">
        <v>15256</v>
      </c>
      <c r="G408" s="292"/>
      <c r="I408" s="292"/>
      <c r="J408" s="806"/>
      <c r="K408" s="806"/>
    </row>
    <row r="409" spans="1:11">
      <c r="A409" s="805" t="s">
        <v>813</v>
      </c>
      <c r="B409" s="805" t="s">
        <v>15697</v>
      </c>
      <c r="C409" s="292" t="s">
        <v>15698</v>
      </c>
      <c r="D409" s="293">
        <v>3252</v>
      </c>
      <c r="E409" s="806"/>
      <c r="F409" s="806" t="s">
        <v>15249</v>
      </c>
      <c r="G409" s="292"/>
      <c r="I409" s="292"/>
      <c r="J409" s="806"/>
      <c r="K409" s="806"/>
    </row>
    <row r="410" spans="1:11">
      <c r="A410" s="805" t="s">
        <v>814</v>
      </c>
      <c r="B410" s="805" t="s">
        <v>15699</v>
      </c>
      <c r="C410" s="292" t="s">
        <v>15700</v>
      </c>
      <c r="D410" s="293">
        <v>5203</v>
      </c>
      <c r="E410" s="806"/>
      <c r="F410" s="806" t="s">
        <v>15249</v>
      </c>
      <c r="G410" s="292"/>
      <c r="I410" s="292"/>
      <c r="J410" s="806"/>
      <c r="K410" s="806"/>
    </row>
    <row r="411" spans="1:11">
      <c r="A411" s="805" t="s">
        <v>815</v>
      </c>
      <c r="B411" s="805" t="s">
        <v>15701</v>
      </c>
      <c r="C411" s="292" t="s">
        <v>15702</v>
      </c>
      <c r="D411" s="293">
        <v>3240</v>
      </c>
      <c r="E411" s="806"/>
      <c r="F411" s="805" t="s">
        <v>15256</v>
      </c>
      <c r="G411" s="292"/>
      <c r="I411" s="292"/>
      <c r="J411" s="806"/>
      <c r="K411" s="806"/>
    </row>
    <row r="412" spans="1:11">
      <c r="A412" s="805" t="s">
        <v>816</v>
      </c>
      <c r="B412" s="805" t="s">
        <v>15703</v>
      </c>
      <c r="C412" s="292" t="s">
        <v>15704</v>
      </c>
      <c r="D412" s="293">
        <v>5511</v>
      </c>
      <c r="E412" s="806"/>
      <c r="F412" s="805" t="s">
        <v>15256</v>
      </c>
      <c r="G412" s="292"/>
      <c r="I412" s="292"/>
      <c r="J412" s="806"/>
      <c r="K412" s="806"/>
    </row>
    <row r="413" spans="1:11">
      <c r="A413" s="805" t="s">
        <v>826</v>
      </c>
      <c r="B413" s="805" t="s">
        <v>15705</v>
      </c>
      <c r="C413" s="292" t="s">
        <v>15706</v>
      </c>
      <c r="D413" s="293">
        <v>3862</v>
      </c>
      <c r="E413" s="806"/>
      <c r="F413" s="805" t="s">
        <v>15256</v>
      </c>
      <c r="G413" s="292"/>
      <c r="I413" s="292"/>
      <c r="J413" s="806"/>
      <c r="K413" s="806"/>
    </row>
    <row r="414" spans="1:11">
      <c r="A414" s="805" t="s">
        <v>827</v>
      </c>
      <c r="B414" s="805" t="s">
        <v>15707</v>
      </c>
      <c r="C414" s="292" t="s">
        <v>15708</v>
      </c>
      <c r="D414" s="293">
        <v>5133</v>
      </c>
      <c r="E414" s="806"/>
      <c r="F414" s="805" t="s">
        <v>15256</v>
      </c>
      <c r="G414" s="292"/>
      <c r="I414" s="292"/>
      <c r="J414" s="806"/>
      <c r="K414" s="806"/>
    </row>
    <row r="415" spans="1:11">
      <c r="A415" s="805" t="s">
        <v>828</v>
      </c>
      <c r="B415" s="805" t="s">
        <v>15709</v>
      </c>
      <c r="C415" s="292" t="s">
        <v>15710</v>
      </c>
      <c r="D415" s="293">
        <v>4571</v>
      </c>
      <c r="E415" s="806"/>
      <c r="F415" s="805" t="s">
        <v>15256</v>
      </c>
      <c r="G415" s="292"/>
      <c r="I415" s="292"/>
      <c r="J415" s="806"/>
      <c r="K415" s="806"/>
    </row>
    <row r="416" spans="1:11">
      <c r="A416" s="805" t="s">
        <v>829</v>
      </c>
      <c r="B416" s="805" t="s">
        <v>11753</v>
      </c>
      <c r="C416" s="292" t="s">
        <v>15711</v>
      </c>
      <c r="D416" s="293">
        <v>5256</v>
      </c>
      <c r="E416" s="806"/>
      <c r="F416" s="805" t="s">
        <v>15256</v>
      </c>
      <c r="G416" s="292"/>
      <c r="I416" s="292"/>
      <c r="J416" s="806"/>
      <c r="K416" s="806"/>
    </row>
    <row r="417" spans="1:11">
      <c r="A417" s="805" t="s">
        <v>830</v>
      </c>
      <c r="B417" s="805" t="s">
        <v>15712</v>
      </c>
      <c r="C417" s="292" t="s">
        <v>15713</v>
      </c>
      <c r="D417" s="295">
        <v>4920</v>
      </c>
      <c r="E417" s="806"/>
      <c r="F417" s="805" t="s">
        <v>15256</v>
      </c>
      <c r="G417" s="292"/>
      <c r="I417" s="292"/>
      <c r="J417" s="806"/>
      <c r="K417" s="806"/>
    </row>
    <row r="418" spans="1:11">
      <c r="A418" s="805" t="s">
        <v>831</v>
      </c>
      <c r="B418" s="805" t="s">
        <v>15714</v>
      </c>
      <c r="C418" s="292" t="s">
        <v>15715</v>
      </c>
      <c r="D418" s="293">
        <v>3699</v>
      </c>
      <c r="E418" s="806"/>
      <c r="F418" s="805" t="s">
        <v>15256</v>
      </c>
      <c r="G418" s="292"/>
      <c r="I418" s="292"/>
      <c r="J418" s="806"/>
      <c r="K418" s="806"/>
    </row>
    <row r="419" spans="1:11">
      <c r="A419" s="805" t="s">
        <v>832</v>
      </c>
      <c r="B419" s="805" t="s">
        <v>15716</v>
      </c>
      <c r="C419" s="292" t="s">
        <v>15717</v>
      </c>
      <c r="D419" s="295">
        <v>1708</v>
      </c>
      <c r="E419" s="806"/>
      <c r="F419" s="805" t="s">
        <v>15256</v>
      </c>
      <c r="G419" s="292"/>
      <c r="I419" s="292"/>
      <c r="J419" s="806"/>
      <c r="K419" s="806"/>
    </row>
    <row r="420" spans="1:11">
      <c r="A420" s="805" t="s">
        <v>833</v>
      </c>
      <c r="B420" s="805" t="s">
        <v>15718</v>
      </c>
      <c r="C420" s="292" t="s">
        <v>15719</v>
      </c>
      <c r="D420" s="293">
        <v>3199</v>
      </c>
      <c r="E420" s="806"/>
      <c r="F420" s="805" t="s">
        <v>15256</v>
      </c>
      <c r="G420" s="292"/>
      <c r="I420" s="292"/>
      <c r="J420" s="806"/>
      <c r="K420" s="806"/>
    </row>
    <row r="421" spans="1:11">
      <c r="A421" s="805" t="s">
        <v>834</v>
      </c>
      <c r="B421" s="805" t="s">
        <v>15720</v>
      </c>
      <c r="C421" s="292" t="s">
        <v>15721</v>
      </c>
      <c r="D421" s="295">
        <v>3498</v>
      </c>
      <c r="E421" s="806"/>
      <c r="F421" s="805" t="s">
        <v>15256</v>
      </c>
      <c r="G421" s="292"/>
      <c r="I421" s="292"/>
      <c r="J421" s="806"/>
      <c r="K421" s="806"/>
    </row>
    <row r="422" spans="1:11">
      <c r="A422" s="805" t="s">
        <v>835</v>
      </c>
      <c r="B422" s="805" t="s">
        <v>10352</v>
      </c>
      <c r="C422" s="292" t="s">
        <v>15722</v>
      </c>
      <c r="D422" s="295">
        <v>3530</v>
      </c>
      <c r="E422" s="806"/>
      <c r="F422" s="805" t="s">
        <v>15256</v>
      </c>
      <c r="G422" s="292"/>
      <c r="I422" s="292"/>
      <c r="J422" s="806"/>
      <c r="K422" s="806"/>
    </row>
    <row r="423" spans="1:11">
      <c r="A423" s="805" t="s">
        <v>836</v>
      </c>
      <c r="B423" s="805" t="s">
        <v>9905</v>
      </c>
      <c r="C423" s="292" t="s">
        <v>15723</v>
      </c>
      <c r="D423" s="295">
        <v>4914</v>
      </c>
      <c r="E423" s="806"/>
      <c r="F423" s="805" t="s">
        <v>15256</v>
      </c>
      <c r="G423" s="292"/>
      <c r="I423" s="292"/>
      <c r="J423" s="806"/>
      <c r="K423" s="806"/>
    </row>
    <row r="424" spans="1:11">
      <c r="A424" s="805" t="s">
        <v>837</v>
      </c>
      <c r="B424" s="805" t="s">
        <v>8244</v>
      </c>
      <c r="C424" s="292" t="s">
        <v>15724</v>
      </c>
      <c r="D424" s="295">
        <v>5459</v>
      </c>
      <c r="E424" s="806"/>
      <c r="F424" s="805" t="s">
        <v>15256</v>
      </c>
      <c r="G424" s="292"/>
      <c r="I424" s="292"/>
      <c r="J424" s="806"/>
      <c r="K424" s="806"/>
    </row>
    <row r="425" spans="1:11">
      <c r="A425" s="805" t="s">
        <v>838</v>
      </c>
      <c r="B425" s="805" t="s">
        <v>15725</v>
      </c>
      <c r="C425" s="292" t="s">
        <v>15726</v>
      </c>
      <c r="D425" s="293">
        <v>3886</v>
      </c>
      <c r="E425" s="806"/>
      <c r="F425" s="805" t="s">
        <v>15256</v>
      </c>
      <c r="G425" s="292"/>
      <c r="I425" s="292"/>
      <c r="J425" s="806"/>
      <c r="K425" s="806"/>
    </row>
    <row r="426" spans="1:11">
      <c r="A426" s="805" t="s">
        <v>840</v>
      </c>
      <c r="B426" s="805" t="s">
        <v>15727</v>
      </c>
      <c r="C426" s="292" t="s">
        <v>15728</v>
      </c>
      <c r="D426" s="295">
        <v>3630</v>
      </c>
      <c r="E426" s="806"/>
      <c r="F426" s="805" t="s">
        <v>15256</v>
      </c>
      <c r="G426" s="292"/>
      <c r="I426" s="292"/>
      <c r="J426" s="806"/>
      <c r="K426" s="806"/>
    </row>
    <row r="427" spans="1:11">
      <c r="A427" s="805" t="s">
        <v>841</v>
      </c>
      <c r="B427" s="805" t="s">
        <v>15729</v>
      </c>
      <c r="C427" s="292" t="s">
        <v>15730</v>
      </c>
      <c r="D427" s="293">
        <v>5193</v>
      </c>
      <c r="E427" s="806"/>
      <c r="F427" s="806" t="s">
        <v>15249</v>
      </c>
      <c r="G427" s="292"/>
      <c r="I427" s="292"/>
      <c r="J427" s="806"/>
      <c r="K427" s="806"/>
    </row>
    <row r="428" spans="1:11">
      <c r="A428" s="805" t="s">
        <v>878</v>
      </c>
      <c r="B428" s="805" t="s">
        <v>5237</v>
      </c>
      <c r="C428" s="292" t="s">
        <v>15731</v>
      </c>
      <c r="D428" s="295">
        <v>5558</v>
      </c>
      <c r="E428" s="806"/>
      <c r="F428" s="805" t="s">
        <v>15256</v>
      </c>
      <c r="G428" s="292"/>
      <c r="I428" s="292"/>
      <c r="J428" s="806"/>
      <c r="K428" s="806"/>
    </row>
    <row r="429" spans="1:11">
      <c r="A429" s="805" t="s">
        <v>879</v>
      </c>
      <c r="B429" s="805" t="s">
        <v>11987</v>
      </c>
      <c r="C429" s="292" t="s">
        <v>15732</v>
      </c>
      <c r="D429" s="293">
        <v>3161</v>
      </c>
      <c r="E429" s="806"/>
      <c r="F429" s="805" t="s">
        <v>15256</v>
      </c>
      <c r="G429" s="292"/>
      <c r="I429" s="292"/>
      <c r="J429" s="806"/>
      <c r="K429" s="806"/>
    </row>
    <row r="430" spans="1:11">
      <c r="A430" s="805" t="s">
        <v>880</v>
      </c>
      <c r="B430" s="805" t="s">
        <v>15733</v>
      </c>
      <c r="C430" s="292" t="s">
        <v>15734</v>
      </c>
      <c r="D430" s="293">
        <v>5189</v>
      </c>
      <c r="E430" s="806"/>
      <c r="F430" s="806" t="s">
        <v>15249</v>
      </c>
      <c r="G430" s="292"/>
      <c r="I430" s="292"/>
      <c r="J430" s="806"/>
      <c r="K430" s="806"/>
    </row>
    <row r="431" spans="1:11">
      <c r="A431" s="806"/>
      <c r="B431" s="806"/>
      <c r="C431" s="806"/>
      <c r="D431" s="814"/>
      <c r="E431" s="806"/>
      <c r="F431" s="806"/>
      <c r="J431" s="806"/>
      <c r="K431" s="806"/>
    </row>
    <row r="432" spans="1:11">
      <c r="A432" s="806" t="s">
        <v>15410</v>
      </c>
      <c r="C432" s="806"/>
      <c r="D432" s="809">
        <f>D409+D410+D427+D430</f>
        <v>18837</v>
      </c>
      <c r="E432" s="806"/>
      <c r="F432" s="806"/>
      <c r="J432" s="806"/>
      <c r="K432" s="806"/>
    </row>
    <row r="433" spans="1:11">
      <c r="A433" s="805" t="s">
        <v>15256</v>
      </c>
      <c r="C433" s="806"/>
      <c r="D433" s="809">
        <f>D408+SUM(D411:D426)+D428+D429</f>
        <v>78130</v>
      </c>
      <c r="E433" s="806"/>
      <c r="F433" s="806"/>
      <c r="J433" s="806"/>
      <c r="K433" s="806"/>
    </row>
    <row r="434" spans="1:11">
      <c r="A434" s="805"/>
      <c r="C434" s="806"/>
      <c r="D434" s="809"/>
      <c r="E434" s="806"/>
      <c r="F434" s="806"/>
      <c r="J434" s="806"/>
      <c r="K434" s="806"/>
    </row>
    <row r="435" spans="1:11">
      <c r="A435" s="805" t="s">
        <v>15735</v>
      </c>
      <c r="C435" s="806"/>
      <c r="D435" s="809"/>
      <c r="E435" s="806"/>
      <c r="F435" s="806"/>
      <c r="J435" s="806"/>
      <c r="K435" s="806"/>
    </row>
    <row r="436" spans="1:11">
      <c r="A436" s="805"/>
      <c r="B436" s="805"/>
      <c r="C436" s="806"/>
      <c r="D436" s="820"/>
      <c r="E436" s="806"/>
      <c r="F436" s="806"/>
      <c r="J436" s="806"/>
      <c r="K436" s="806"/>
    </row>
    <row r="437" spans="1:11">
      <c r="A437" s="806"/>
      <c r="B437" s="806"/>
      <c r="C437" s="806"/>
      <c r="D437" s="15"/>
      <c r="E437" s="16"/>
      <c r="J437" s="806"/>
      <c r="K437" s="806"/>
    </row>
    <row r="438" spans="1:11">
      <c r="A438" s="806"/>
      <c r="B438" s="806"/>
      <c r="C438" s="806"/>
      <c r="D438" s="10" t="s">
        <v>285</v>
      </c>
      <c r="E438" s="16"/>
      <c r="F438" s="5" t="s">
        <v>4116</v>
      </c>
      <c r="J438" s="806"/>
      <c r="K438" s="806"/>
    </row>
    <row r="439" spans="1:11">
      <c r="A439" s="806"/>
      <c r="B439" s="806"/>
      <c r="C439" s="806"/>
      <c r="D439" s="15">
        <v>2016</v>
      </c>
      <c r="E439" s="806"/>
      <c r="F439" s="18" t="s">
        <v>286</v>
      </c>
      <c r="J439" s="806"/>
      <c r="K439" s="806"/>
    </row>
    <row r="440" spans="1:11">
      <c r="A440" s="805" t="s">
        <v>15736</v>
      </c>
      <c r="C440" s="806"/>
      <c r="D440" s="809">
        <f>SUM(D441:D464)</f>
        <v>90032</v>
      </c>
      <c r="E440" s="806"/>
      <c r="F440" s="806"/>
      <c r="J440" s="806"/>
      <c r="K440" s="806"/>
    </row>
    <row r="441" spans="1:11">
      <c r="A441" s="805" t="s">
        <v>812</v>
      </c>
      <c r="B441" s="805" t="s">
        <v>15737</v>
      </c>
      <c r="C441" s="292" t="s">
        <v>15738</v>
      </c>
      <c r="D441" s="316">
        <v>4948</v>
      </c>
      <c r="E441" s="806"/>
      <c r="F441" s="805" t="s">
        <v>15239</v>
      </c>
      <c r="G441" s="292"/>
      <c r="I441" s="292"/>
      <c r="J441" s="806"/>
      <c r="K441" s="806"/>
    </row>
    <row r="442" spans="1:11">
      <c r="A442" s="805" t="s">
        <v>813</v>
      </c>
      <c r="B442" s="805" t="s">
        <v>15739</v>
      </c>
      <c r="C442" s="292" t="s">
        <v>15740</v>
      </c>
      <c r="D442" s="316">
        <v>3180</v>
      </c>
      <c r="E442" s="806"/>
      <c r="F442" s="805" t="s">
        <v>15239</v>
      </c>
      <c r="G442" s="292"/>
      <c r="I442" s="292"/>
      <c r="J442" s="806"/>
      <c r="K442" s="806"/>
    </row>
    <row r="443" spans="1:11">
      <c r="A443" s="805" t="s">
        <v>814</v>
      </c>
      <c r="B443" s="805" t="s">
        <v>15741</v>
      </c>
      <c r="C443" s="292" t="s">
        <v>15742</v>
      </c>
      <c r="D443" s="316">
        <v>5258</v>
      </c>
      <c r="E443" s="806"/>
      <c r="F443" s="805" t="s">
        <v>15254</v>
      </c>
      <c r="G443" s="292"/>
      <c r="I443" s="292"/>
      <c r="J443" s="806"/>
      <c r="K443" s="806"/>
    </row>
    <row r="444" spans="1:11">
      <c r="A444" s="805" t="s">
        <v>815</v>
      </c>
      <c r="B444" s="805" t="s">
        <v>15743</v>
      </c>
      <c r="C444" s="292" t="s">
        <v>15744</v>
      </c>
      <c r="D444" s="316">
        <v>2065</v>
      </c>
      <c r="E444" s="806"/>
      <c r="F444" s="805" t="s">
        <v>15239</v>
      </c>
      <c r="G444" s="292"/>
      <c r="I444" s="292"/>
      <c r="J444" s="806"/>
      <c r="K444" s="806"/>
    </row>
    <row r="445" spans="1:11">
      <c r="A445" s="805" t="s">
        <v>816</v>
      </c>
      <c r="B445" s="805" t="s">
        <v>15745</v>
      </c>
      <c r="C445" s="292" t="s">
        <v>15746</v>
      </c>
      <c r="D445" s="316">
        <v>3502</v>
      </c>
      <c r="E445" s="806"/>
      <c r="F445" s="805" t="s">
        <v>15257</v>
      </c>
      <c r="G445" s="292"/>
      <c r="I445" s="292"/>
      <c r="J445" s="806"/>
      <c r="K445" s="806"/>
    </row>
    <row r="446" spans="1:11">
      <c r="A446" s="805" t="s">
        <v>826</v>
      </c>
      <c r="B446" s="805" t="s">
        <v>883</v>
      </c>
      <c r="C446" s="292" t="s">
        <v>15747</v>
      </c>
      <c r="D446" s="316">
        <v>3287</v>
      </c>
      <c r="E446" s="806"/>
      <c r="F446" s="805" t="s">
        <v>15257</v>
      </c>
      <c r="G446" s="292"/>
      <c r="I446" s="292"/>
      <c r="J446" s="806"/>
      <c r="K446" s="806"/>
    </row>
    <row r="447" spans="1:11">
      <c r="A447" s="805" t="s">
        <v>827</v>
      </c>
      <c r="B447" s="805" t="s">
        <v>11926</v>
      </c>
      <c r="C447" s="292" t="s">
        <v>15748</v>
      </c>
      <c r="D447" s="316">
        <v>3707</v>
      </c>
      <c r="E447" s="806"/>
      <c r="F447" s="805" t="s">
        <v>15239</v>
      </c>
      <c r="G447" s="292"/>
      <c r="I447" s="292"/>
      <c r="J447" s="806"/>
      <c r="K447" s="806"/>
    </row>
    <row r="448" spans="1:11">
      <c r="A448" s="805" t="s">
        <v>828</v>
      </c>
      <c r="B448" s="805" t="s">
        <v>15749</v>
      </c>
      <c r="C448" s="292" t="s">
        <v>15750</v>
      </c>
      <c r="D448" s="316">
        <v>3305</v>
      </c>
      <c r="E448" s="806"/>
      <c r="F448" s="805" t="s">
        <v>15254</v>
      </c>
      <c r="G448" s="292"/>
      <c r="I448" s="292"/>
      <c r="J448" s="806"/>
      <c r="K448" s="806"/>
    </row>
    <row r="449" spans="1:11">
      <c r="A449" s="805" t="s">
        <v>829</v>
      </c>
      <c r="B449" s="805" t="s">
        <v>15751</v>
      </c>
      <c r="C449" s="292" t="s">
        <v>15752</v>
      </c>
      <c r="D449" s="316">
        <v>3527</v>
      </c>
      <c r="E449" s="806"/>
      <c r="F449" s="805" t="s">
        <v>15239</v>
      </c>
      <c r="G449" s="292"/>
      <c r="I449" s="292"/>
      <c r="J449" s="806"/>
      <c r="K449" s="806"/>
    </row>
    <row r="450" spans="1:11">
      <c r="A450" s="805" t="s">
        <v>830</v>
      </c>
      <c r="B450" s="805" t="s">
        <v>15753</v>
      </c>
      <c r="C450" s="292" t="s">
        <v>15754</v>
      </c>
      <c r="D450" s="316">
        <v>5371</v>
      </c>
      <c r="E450" s="806"/>
      <c r="F450" s="805" t="s">
        <v>15257</v>
      </c>
      <c r="G450" s="292"/>
      <c r="I450" s="292"/>
      <c r="J450" s="806"/>
      <c r="K450" s="806"/>
    </row>
    <row r="451" spans="1:11">
      <c r="A451" s="805" t="s">
        <v>831</v>
      </c>
      <c r="B451" s="805" t="s">
        <v>15485</v>
      </c>
      <c r="C451" s="292" t="s">
        <v>15755</v>
      </c>
      <c r="D451" s="316">
        <v>3611</v>
      </c>
      <c r="E451" s="806"/>
      <c r="F451" s="805" t="s">
        <v>15257</v>
      </c>
      <c r="G451" s="292"/>
      <c r="I451" s="292"/>
      <c r="J451" s="806"/>
      <c r="K451" s="806"/>
    </row>
    <row r="452" spans="1:11">
      <c r="A452" s="805" t="s">
        <v>832</v>
      </c>
      <c r="B452" s="805" t="s">
        <v>15756</v>
      </c>
      <c r="C452" s="292" t="s">
        <v>15757</v>
      </c>
      <c r="D452" s="316">
        <v>3686</v>
      </c>
      <c r="E452" s="806"/>
      <c r="F452" s="805" t="s">
        <v>15257</v>
      </c>
      <c r="G452" s="292"/>
      <c r="I452" s="292"/>
      <c r="J452" s="806"/>
      <c r="K452" s="806"/>
    </row>
    <row r="453" spans="1:11">
      <c r="A453" s="805" t="s">
        <v>833</v>
      </c>
      <c r="B453" s="805" t="s">
        <v>15758</v>
      </c>
      <c r="C453" s="292" t="s">
        <v>15759</v>
      </c>
      <c r="D453" s="316">
        <v>3594</v>
      </c>
      <c r="E453" s="806"/>
      <c r="F453" s="805" t="s">
        <v>15257</v>
      </c>
      <c r="G453" s="292"/>
      <c r="I453" s="292"/>
      <c r="J453" s="806"/>
      <c r="K453" s="806"/>
    </row>
    <row r="454" spans="1:11">
      <c r="A454" s="805" t="s">
        <v>834</v>
      </c>
      <c r="B454" s="805" t="s">
        <v>15760</v>
      </c>
      <c r="C454" s="292" t="s">
        <v>15761</v>
      </c>
      <c r="D454" s="316">
        <v>5645</v>
      </c>
      <c r="E454" s="806"/>
      <c r="F454" s="805" t="s">
        <v>15239</v>
      </c>
      <c r="G454" s="292"/>
      <c r="I454" s="292"/>
      <c r="J454" s="806"/>
      <c r="K454" s="806"/>
    </row>
    <row r="455" spans="1:11">
      <c r="A455" s="805" t="s">
        <v>835</v>
      </c>
      <c r="B455" s="805" t="s">
        <v>15762</v>
      </c>
      <c r="C455" s="292" t="s">
        <v>15763</v>
      </c>
      <c r="D455" s="316">
        <v>3402</v>
      </c>
      <c r="E455" s="806"/>
      <c r="F455" s="805" t="s">
        <v>15239</v>
      </c>
      <c r="G455" s="292"/>
      <c r="I455" s="292"/>
      <c r="J455" s="806"/>
      <c r="K455" s="806"/>
    </row>
    <row r="456" spans="1:11">
      <c r="A456" s="805" t="s">
        <v>836</v>
      </c>
      <c r="B456" s="805" t="s">
        <v>15764</v>
      </c>
      <c r="C456" s="292" t="s">
        <v>15765</v>
      </c>
      <c r="D456" s="316">
        <v>3228</v>
      </c>
      <c r="E456" s="806"/>
      <c r="F456" s="805" t="s">
        <v>15239</v>
      </c>
      <c r="G456" s="292"/>
      <c r="I456" s="292"/>
      <c r="J456" s="806"/>
      <c r="K456" s="806"/>
    </row>
    <row r="457" spans="1:11">
      <c r="A457" s="805" t="s">
        <v>837</v>
      </c>
      <c r="B457" s="805" t="s">
        <v>15766</v>
      </c>
      <c r="C457" s="292" t="s">
        <v>15767</v>
      </c>
      <c r="D457" s="316">
        <v>4167</v>
      </c>
      <c r="E457" s="806"/>
      <c r="F457" s="805" t="s">
        <v>15257</v>
      </c>
      <c r="G457" s="292"/>
      <c r="I457" s="292"/>
      <c r="J457" s="806"/>
      <c r="K457" s="806"/>
    </row>
    <row r="458" spans="1:11">
      <c r="A458" s="805" t="s">
        <v>838</v>
      </c>
      <c r="B458" s="805" t="s">
        <v>15768</v>
      </c>
      <c r="C458" s="292" t="s">
        <v>15769</v>
      </c>
      <c r="D458" s="316">
        <v>3476</v>
      </c>
      <c r="E458" s="806"/>
      <c r="F458" s="805" t="s">
        <v>15239</v>
      </c>
      <c r="G458" s="292"/>
      <c r="I458" s="292"/>
      <c r="J458" s="806"/>
      <c r="K458" s="806"/>
    </row>
    <row r="459" spans="1:11">
      <c r="A459" s="805" t="s">
        <v>840</v>
      </c>
      <c r="B459" s="805" t="s">
        <v>15770</v>
      </c>
      <c r="C459" s="292" t="s">
        <v>15771</v>
      </c>
      <c r="D459" s="316">
        <v>4257</v>
      </c>
      <c r="E459" s="806"/>
      <c r="F459" s="805" t="s">
        <v>15239</v>
      </c>
      <c r="G459" s="292"/>
      <c r="I459" s="292"/>
      <c r="J459" s="806"/>
      <c r="K459" s="806"/>
    </row>
    <row r="460" spans="1:11">
      <c r="A460" s="805" t="s">
        <v>841</v>
      </c>
      <c r="B460" s="805" t="s">
        <v>15772</v>
      </c>
      <c r="C460" s="292" t="s">
        <v>15773</v>
      </c>
      <c r="D460" s="316">
        <v>3516</v>
      </c>
      <c r="E460" s="806"/>
      <c r="F460" s="805" t="s">
        <v>15257</v>
      </c>
      <c r="G460" s="292"/>
      <c r="I460" s="292"/>
      <c r="J460" s="806"/>
      <c r="K460" s="806"/>
    </row>
    <row r="461" spans="1:11">
      <c r="A461" s="805" t="s">
        <v>878</v>
      </c>
      <c r="B461" s="805" t="s">
        <v>15774</v>
      </c>
      <c r="C461" s="292" t="s">
        <v>15775</v>
      </c>
      <c r="D461" s="316">
        <v>3693</v>
      </c>
      <c r="E461" s="806"/>
      <c r="F461" s="805" t="s">
        <v>15257</v>
      </c>
      <c r="G461" s="292"/>
      <c r="I461" s="292"/>
      <c r="J461" s="806"/>
      <c r="K461" s="806"/>
    </row>
    <row r="462" spans="1:11">
      <c r="A462" s="805" t="s">
        <v>879</v>
      </c>
      <c r="B462" s="805" t="s">
        <v>15776</v>
      </c>
      <c r="C462" s="292" t="s">
        <v>15777</v>
      </c>
      <c r="D462" s="316">
        <v>1540</v>
      </c>
      <c r="E462" s="806"/>
      <c r="F462" s="805" t="s">
        <v>15239</v>
      </c>
      <c r="G462" s="292"/>
      <c r="I462" s="292"/>
      <c r="J462" s="806"/>
      <c r="K462" s="806"/>
    </row>
    <row r="463" spans="1:11">
      <c r="A463" s="805" t="s">
        <v>880</v>
      </c>
      <c r="B463" s="805" t="s">
        <v>15778</v>
      </c>
      <c r="C463" s="292" t="s">
        <v>15779</v>
      </c>
      <c r="D463" s="316">
        <v>4794</v>
      </c>
      <c r="E463" s="806"/>
      <c r="F463" s="805" t="s">
        <v>15239</v>
      </c>
      <c r="G463" s="292"/>
      <c r="I463" s="292"/>
      <c r="J463" s="806"/>
      <c r="K463" s="806"/>
    </row>
    <row r="464" spans="1:11">
      <c r="A464" s="805" t="s">
        <v>721</v>
      </c>
      <c r="B464" s="805" t="s">
        <v>15780</v>
      </c>
      <c r="C464" s="292" t="s">
        <v>15781</v>
      </c>
      <c r="D464" s="316">
        <v>3273</v>
      </c>
      <c r="E464" s="806"/>
      <c r="F464" s="805" t="s">
        <v>15254</v>
      </c>
      <c r="G464" s="292"/>
      <c r="I464" s="292"/>
      <c r="J464" s="806"/>
      <c r="K464" s="806"/>
    </row>
    <row r="465" spans="1:11">
      <c r="A465" s="806"/>
      <c r="B465" s="806"/>
      <c r="C465" s="806"/>
      <c r="D465" s="814"/>
      <c r="E465" s="806"/>
      <c r="F465" s="806"/>
      <c r="J465" s="806"/>
      <c r="K465" s="806"/>
    </row>
    <row r="466" spans="1:11">
      <c r="A466" s="805" t="s">
        <v>15300</v>
      </c>
      <c r="C466" s="806"/>
      <c r="D466" s="809">
        <f>D441+D442+D444+D447+D449+SUM(D454:D456)+D458+D459+D462+D463</f>
        <v>43769</v>
      </c>
      <c r="E466" s="806"/>
      <c r="F466" s="806"/>
      <c r="J466" s="806"/>
      <c r="K466" s="806"/>
    </row>
    <row r="467" spans="1:11">
      <c r="A467" s="805" t="s">
        <v>15618</v>
      </c>
      <c r="C467" s="806"/>
      <c r="D467" s="809">
        <f>D443+D448+D464</f>
        <v>11836</v>
      </c>
      <c r="E467" s="806"/>
      <c r="F467" s="806"/>
      <c r="J467" s="806"/>
      <c r="K467" s="806"/>
    </row>
    <row r="468" spans="1:11">
      <c r="A468" s="805" t="s">
        <v>15562</v>
      </c>
      <c r="C468" s="806"/>
      <c r="D468" s="809">
        <f>D445+D446+SUM(D450:D453)+D457+D460+D461</f>
        <v>34427</v>
      </c>
      <c r="E468" s="806"/>
      <c r="F468" s="806"/>
      <c r="J468" s="806"/>
      <c r="K468" s="806"/>
    </row>
    <row r="469" spans="1:11">
      <c r="A469" s="805"/>
      <c r="B469" s="805"/>
      <c r="C469" s="806"/>
      <c r="D469" s="809"/>
      <c r="E469" s="806"/>
      <c r="F469" s="806"/>
      <c r="J469" s="806"/>
      <c r="K469" s="806"/>
    </row>
    <row r="470" spans="1:11">
      <c r="A470" s="808" t="s">
        <v>15782</v>
      </c>
      <c r="C470" s="806"/>
      <c r="E470" s="806"/>
      <c r="F470" s="806"/>
      <c r="J470" s="806"/>
      <c r="K470" s="806"/>
    </row>
    <row r="471" spans="1:11" ht="15.75" customHeight="1">
      <c r="A471" s="805"/>
      <c r="B471" s="805"/>
      <c r="C471" s="806"/>
      <c r="D471" s="820"/>
      <c r="E471" s="806"/>
      <c r="F471" s="806"/>
      <c r="J471" s="806"/>
      <c r="K471" s="806"/>
    </row>
    <row r="472" spans="1:11">
      <c r="A472" s="805"/>
      <c r="B472" s="805"/>
      <c r="C472" s="806"/>
      <c r="D472" s="820"/>
      <c r="E472" s="806"/>
      <c r="F472" s="806"/>
      <c r="J472" s="806"/>
      <c r="K472" s="806"/>
    </row>
    <row r="473" spans="1:11">
      <c r="A473" s="806"/>
      <c r="B473" s="806"/>
      <c r="C473" s="806"/>
      <c r="D473" s="10" t="s">
        <v>285</v>
      </c>
      <c r="E473" s="16"/>
      <c r="F473" s="5" t="s">
        <v>4116</v>
      </c>
      <c r="J473" s="806"/>
      <c r="K473" s="806"/>
    </row>
    <row r="474" spans="1:11">
      <c r="A474" s="806"/>
      <c r="B474" s="806"/>
      <c r="C474" s="806"/>
      <c r="D474" s="15">
        <v>2016</v>
      </c>
      <c r="E474" s="806"/>
      <c r="F474" s="18" t="s">
        <v>286</v>
      </c>
      <c r="J474" s="806"/>
      <c r="K474" s="806"/>
    </row>
    <row r="475" spans="1:11">
      <c r="A475" s="805" t="s">
        <v>15783</v>
      </c>
      <c r="C475" s="806"/>
      <c r="D475" s="809">
        <f t="shared" ref="D475" si="49">SUM(D476:D495)</f>
        <v>76380</v>
      </c>
      <c r="E475" s="806"/>
      <c r="F475" s="806"/>
      <c r="J475" s="806"/>
      <c r="K475" s="806"/>
    </row>
    <row r="476" spans="1:11">
      <c r="A476" s="805" t="s">
        <v>812</v>
      </c>
      <c r="B476" s="805" t="s">
        <v>15784</v>
      </c>
      <c r="C476" s="292" t="s">
        <v>15785</v>
      </c>
      <c r="D476" s="316">
        <v>5044</v>
      </c>
      <c r="E476" s="806"/>
      <c r="F476" s="805" t="s">
        <v>14287</v>
      </c>
      <c r="G476" s="292"/>
      <c r="I476" s="292"/>
      <c r="J476" s="806"/>
      <c r="K476" s="806"/>
    </row>
    <row r="477" spans="1:11">
      <c r="A477" s="805" t="s">
        <v>813</v>
      </c>
      <c r="B477" s="805" t="s">
        <v>15786</v>
      </c>
      <c r="C477" s="292" t="s">
        <v>15787</v>
      </c>
      <c r="D477" s="316">
        <v>3852</v>
      </c>
      <c r="E477" s="806"/>
      <c r="F477" s="805" t="s">
        <v>15258</v>
      </c>
      <c r="G477" s="292"/>
      <c r="I477" s="292"/>
      <c r="J477" s="806"/>
      <c r="K477" s="806"/>
    </row>
    <row r="478" spans="1:11">
      <c r="A478" s="805" t="s">
        <v>814</v>
      </c>
      <c r="B478" s="805" t="s">
        <v>15788</v>
      </c>
      <c r="C478" s="292" t="s">
        <v>15789</v>
      </c>
      <c r="D478" s="316">
        <v>2902</v>
      </c>
      <c r="E478" s="806"/>
      <c r="F478" s="805" t="s">
        <v>15258</v>
      </c>
      <c r="G478" s="292"/>
      <c r="I478" s="292"/>
      <c r="J478" s="806"/>
      <c r="K478" s="806"/>
    </row>
    <row r="479" spans="1:11">
      <c r="A479" s="805" t="s">
        <v>815</v>
      </c>
      <c r="B479" s="805" t="s">
        <v>15790</v>
      </c>
      <c r="C479" s="292" t="s">
        <v>15791</v>
      </c>
      <c r="D479" s="316">
        <v>1719</v>
      </c>
      <c r="E479" s="806"/>
      <c r="F479" s="805" t="s">
        <v>15258</v>
      </c>
      <c r="G479" s="292"/>
      <c r="I479" s="292"/>
      <c r="J479" s="806"/>
      <c r="K479" s="806"/>
    </row>
    <row r="480" spans="1:11">
      <c r="A480" s="805" t="s">
        <v>816</v>
      </c>
      <c r="B480" s="805" t="s">
        <v>15792</v>
      </c>
      <c r="C480" s="292" t="s">
        <v>15793</v>
      </c>
      <c r="D480" s="316">
        <v>4994</v>
      </c>
      <c r="E480" s="806"/>
      <c r="F480" s="805" t="s">
        <v>15258</v>
      </c>
      <c r="G480" s="292"/>
      <c r="I480" s="292"/>
      <c r="J480" s="806"/>
      <c r="K480" s="806"/>
    </row>
    <row r="481" spans="1:11">
      <c r="A481" s="805" t="s">
        <v>826</v>
      </c>
      <c r="B481" s="805" t="s">
        <v>15794</v>
      </c>
      <c r="C481" s="292" t="s">
        <v>15795</v>
      </c>
      <c r="D481" s="316">
        <v>1571</v>
      </c>
      <c r="E481" s="806"/>
      <c r="F481" s="805" t="s">
        <v>14287</v>
      </c>
      <c r="G481" s="292"/>
      <c r="I481" s="292"/>
      <c r="J481" s="806"/>
      <c r="K481" s="806"/>
    </row>
    <row r="482" spans="1:11">
      <c r="A482" s="805" t="s">
        <v>827</v>
      </c>
      <c r="B482" s="805" t="s">
        <v>15796</v>
      </c>
      <c r="C482" s="292" t="s">
        <v>15797</v>
      </c>
      <c r="D482" s="316">
        <v>3340</v>
      </c>
      <c r="E482" s="806"/>
      <c r="F482" s="805" t="s">
        <v>14287</v>
      </c>
      <c r="G482" s="292"/>
      <c r="I482" s="292"/>
      <c r="J482" s="806"/>
      <c r="K482" s="806"/>
    </row>
    <row r="483" spans="1:11">
      <c r="A483" s="805" t="s">
        <v>828</v>
      </c>
      <c r="B483" s="805" t="s">
        <v>15798</v>
      </c>
      <c r="C483" s="292" t="s">
        <v>15799</v>
      </c>
      <c r="D483" s="316">
        <v>4402</v>
      </c>
      <c r="E483" s="806"/>
      <c r="F483" s="805" t="s">
        <v>14287</v>
      </c>
      <c r="G483" s="292"/>
      <c r="I483" s="292"/>
      <c r="J483" s="806"/>
      <c r="K483" s="806"/>
    </row>
    <row r="484" spans="1:11">
      <c r="A484" s="805" t="s">
        <v>829</v>
      </c>
      <c r="B484" s="805" t="s">
        <v>15800</v>
      </c>
      <c r="C484" s="292" t="s">
        <v>15801</v>
      </c>
      <c r="D484" s="316">
        <v>2913</v>
      </c>
      <c r="E484" s="806"/>
      <c r="F484" s="805" t="s">
        <v>15258</v>
      </c>
      <c r="G484" s="292"/>
      <c r="I484" s="292"/>
      <c r="J484" s="806"/>
      <c r="K484" s="806"/>
    </row>
    <row r="485" spans="1:11">
      <c r="A485" s="805" t="s">
        <v>830</v>
      </c>
      <c r="B485" s="805" t="s">
        <v>15802</v>
      </c>
      <c r="C485" s="292" t="s">
        <v>15803</v>
      </c>
      <c r="D485" s="316">
        <v>2755</v>
      </c>
      <c r="E485" s="806"/>
      <c r="F485" s="805" t="s">
        <v>15258</v>
      </c>
      <c r="G485" s="292"/>
      <c r="I485" s="292"/>
      <c r="J485" s="806"/>
      <c r="K485" s="806"/>
    </row>
    <row r="486" spans="1:11">
      <c r="A486" s="805" t="s">
        <v>831</v>
      </c>
      <c r="B486" s="805" t="s">
        <v>15804</v>
      </c>
      <c r="C486" s="292" t="s">
        <v>15805</v>
      </c>
      <c r="D486" s="316">
        <v>4745</v>
      </c>
      <c r="E486" s="806"/>
      <c r="F486" s="805" t="s">
        <v>15258</v>
      </c>
      <c r="G486" s="292"/>
      <c r="I486" s="292"/>
      <c r="J486" s="806"/>
      <c r="K486" s="806"/>
    </row>
    <row r="487" spans="1:11">
      <c r="A487" s="805" t="s">
        <v>832</v>
      </c>
      <c r="B487" s="805" t="s">
        <v>303</v>
      </c>
      <c r="C487" s="292" t="s">
        <v>15806</v>
      </c>
      <c r="D487" s="316">
        <v>5054</v>
      </c>
      <c r="E487" s="806"/>
      <c r="F487" s="805" t="s">
        <v>15258</v>
      </c>
      <c r="G487" s="292"/>
      <c r="I487" s="292"/>
      <c r="J487" s="806"/>
      <c r="K487" s="806"/>
    </row>
    <row r="488" spans="1:11">
      <c r="A488" s="805" t="s">
        <v>833</v>
      </c>
      <c r="B488" s="805" t="s">
        <v>15807</v>
      </c>
      <c r="C488" s="292" t="s">
        <v>15808</v>
      </c>
      <c r="D488" s="316">
        <v>4268</v>
      </c>
      <c r="E488" s="806"/>
      <c r="F488" s="805" t="s">
        <v>15258</v>
      </c>
      <c r="G488" s="292"/>
      <c r="I488" s="292"/>
      <c r="J488" s="806"/>
      <c r="K488" s="806"/>
    </row>
    <row r="489" spans="1:11">
      <c r="A489" s="805" t="s">
        <v>834</v>
      </c>
      <c r="B489" s="805" t="s">
        <v>15809</v>
      </c>
      <c r="C489" s="292" t="s">
        <v>15810</v>
      </c>
      <c r="D489" s="316">
        <v>3371</v>
      </c>
      <c r="E489" s="806"/>
      <c r="F489" s="805" t="s">
        <v>15258</v>
      </c>
      <c r="G489" s="292"/>
      <c r="I489" s="292"/>
      <c r="J489" s="806"/>
      <c r="K489" s="806"/>
    </row>
    <row r="490" spans="1:11">
      <c r="A490" s="805" t="s">
        <v>835</v>
      </c>
      <c r="B490" s="805" t="s">
        <v>12555</v>
      </c>
      <c r="C490" s="292" t="s">
        <v>15811</v>
      </c>
      <c r="D490" s="316">
        <v>3753</v>
      </c>
      <c r="E490" s="806"/>
      <c r="F490" s="805" t="s">
        <v>15258</v>
      </c>
      <c r="G490" s="292"/>
      <c r="I490" s="292"/>
      <c r="J490" s="806"/>
      <c r="K490" s="806"/>
    </row>
    <row r="491" spans="1:11">
      <c r="A491" s="805" t="s">
        <v>836</v>
      </c>
      <c r="B491" s="805" t="s">
        <v>2912</v>
      </c>
      <c r="C491" s="292" t="s">
        <v>15812</v>
      </c>
      <c r="D491" s="316">
        <v>4811</v>
      </c>
      <c r="E491" s="806"/>
      <c r="F491" s="805" t="s">
        <v>15258</v>
      </c>
      <c r="G491" s="292"/>
      <c r="I491" s="292"/>
      <c r="J491" s="806"/>
      <c r="K491" s="806"/>
    </row>
    <row r="492" spans="1:11">
      <c r="A492" s="805" t="s">
        <v>837</v>
      </c>
      <c r="B492" s="805" t="s">
        <v>5650</v>
      </c>
      <c r="C492" s="292" t="s">
        <v>15813</v>
      </c>
      <c r="D492" s="316">
        <v>4391</v>
      </c>
      <c r="E492" s="806"/>
      <c r="F492" s="805" t="s">
        <v>15258</v>
      </c>
      <c r="G492" s="292"/>
      <c r="I492" s="292"/>
      <c r="J492" s="806"/>
      <c r="K492" s="806"/>
    </row>
    <row r="493" spans="1:11">
      <c r="A493" s="805" t="s">
        <v>838</v>
      </c>
      <c r="B493" s="805" t="s">
        <v>15814</v>
      </c>
      <c r="C493" s="292" t="s">
        <v>15815</v>
      </c>
      <c r="D493" s="316">
        <v>4981</v>
      </c>
      <c r="E493" s="806"/>
      <c r="F493" s="805" t="s">
        <v>15258</v>
      </c>
      <c r="G493" s="292"/>
      <c r="I493" s="292"/>
      <c r="J493" s="806"/>
      <c r="K493" s="806"/>
    </row>
    <row r="494" spans="1:11">
      <c r="A494" s="805" t="s">
        <v>840</v>
      </c>
      <c r="B494" s="805" t="s">
        <v>15816</v>
      </c>
      <c r="C494" s="292" t="s">
        <v>15817</v>
      </c>
      <c r="D494" s="316">
        <v>3051</v>
      </c>
      <c r="E494" s="806"/>
      <c r="F494" s="805" t="s">
        <v>15258</v>
      </c>
      <c r="G494" s="292"/>
      <c r="I494" s="292"/>
      <c r="J494" s="806"/>
      <c r="K494" s="806"/>
    </row>
    <row r="495" spans="1:11">
      <c r="A495" s="805" t="s">
        <v>841</v>
      </c>
      <c r="B495" s="805" t="s">
        <v>15818</v>
      </c>
      <c r="C495" s="292" t="s">
        <v>15819</v>
      </c>
      <c r="D495" s="316">
        <v>4463</v>
      </c>
      <c r="E495" s="806"/>
      <c r="F495" s="805" t="s">
        <v>15258</v>
      </c>
      <c r="G495" s="292"/>
      <c r="I495" s="292"/>
      <c r="J495" s="806"/>
      <c r="K495" s="806"/>
    </row>
    <row r="496" spans="1:11">
      <c r="A496" s="806"/>
      <c r="B496" s="806"/>
      <c r="C496" s="806"/>
      <c r="D496" s="814"/>
      <c r="E496" s="806"/>
      <c r="F496" s="806"/>
      <c r="G496" s="806"/>
      <c r="H496" s="806"/>
      <c r="I496" s="806"/>
      <c r="J496" s="806"/>
      <c r="K496" s="806"/>
    </row>
    <row r="497" spans="1:11">
      <c r="A497" s="805" t="s">
        <v>14470</v>
      </c>
      <c r="D497" s="809">
        <f>D476+SUM(D481:D483)</f>
        <v>14357</v>
      </c>
      <c r="E497" s="806"/>
      <c r="F497" s="806"/>
      <c r="G497" s="806"/>
      <c r="H497" s="806"/>
      <c r="I497" s="806"/>
      <c r="J497" s="806"/>
      <c r="K497" s="806"/>
    </row>
    <row r="498" spans="1:11">
      <c r="A498" s="805" t="s">
        <v>15619</v>
      </c>
      <c r="D498" s="809">
        <f>SUM(D477:D480)+SUM(D484:D495)</f>
        <v>62023</v>
      </c>
      <c r="E498" s="806"/>
      <c r="F498" s="806"/>
      <c r="G498" s="806"/>
      <c r="H498" s="806"/>
      <c r="I498" s="806"/>
      <c r="J498" s="806"/>
      <c r="K498" s="806"/>
    </row>
    <row r="499" spans="1:11">
      <c r="A499" s="806"/>
      <c r="B499" s="806"/>
      <c r="C499" s="806"/>
      <c r="D499" s="806"/>
      <c r="E499" s="806"/>
      <c r="F499" s="806"/>
      <c r="G499" s="806"/>
      <c r="H499" s="806"/>
      <c r="I499" s="806"/>
      <c r="J499" s="806"/>
      <c r="K499" s="806"/>
    </row>
    <row r="500" spans="1:11">
      <c r="A500" s="805" t="s">
        <v>15820</v>
      </c>
      <c r="B500" s="806"/>
      <c r="C500" s="806"/>
      <c r="D500" s="806"/>
      <c r="E500" s="806"/>
      <c r="F500" s="806"/>
      <c r="G500" s="806"/>
      <c r="H500" s="806"/>
      <c r="I500" s="806"/>
      <c r="J500" s="806"/>
      <c r="K500" s="806"/>
    </row>
    <row r="501" spans="1:11">
      <c r="A501" s="806"/>
      <c r="B501" s="806"/>
      <c r="C501" s="806"/>
      <c r="D501" s="806"/>
      <c r="E501" s="806"/>
      <c r="F501" s="806"/>
      <c r="G501" s="806"/>
      <c r="H501" s="806"/>
      <c r="I501" s="806"/>
      <c r="J501" s="806"/>
      <c r="K501" s="806"/>
    </row>
    <row r="502" spans="1:11">
      <c r="A502" s="806"/>
      <c r="B502" s="806"/>
      <c r="C502" s="806"/>
      <c r="D502" s="806"/>
      <c r="E502" s="806"/>
      <c r="F502" s="806"/>
      <c r="G502" s="806"/>
      <c r="H502" s="806"/>
      <c r="I502" s="806"/>
      <c r="J502" s="806"/>
      <c r="K502" s="806"/>
    </row>
    <row r="503" spans="1:11">
      <c r="A503" s="806"/>
      <c r="B503" s="806"/>
      <c r="C503" s="806"/>
      <c r="D503" s="806"/>
      <c r="E503" s="806"/>
      <c r="F503" s="806"/>
      <c r="G503" s="806"/>
      <c r="H503" s="806"/>
      <c r="I503" s="806"/>
      <c r="J503" s="806"/>
      <c r="K503" s="806"/>
    </row>
    <row r="504" spans="1:11">
      <c r="A504" s="806"/>
      <c r="B504" s="806"/>
      <c r="C504" s="806"/>
      <c r="D504" s="806"/>
      <c r="E504" s="806"/>
      <c r="F504" s="806"/>
      <c r="G504" s="806"/>
      <c r="H504" s="806"/>
      <c r="I504" s="806"/>
      <c r="J504" s="806"/>
      <c r="K504" s="806"/>
    </row>
    <row r="505" spans="1:11">
      <c r="A505" s="806"/>
      <c r="B505" s="806"/>
      <c r="C505" s="806"/>
      <c r="D505" s="806"/>
      <c r="E505" s="806"/>
      <c r="F505" s="806"/>
      <c r="G505" s="806"/>
      <c r="H505" s="806"/>
      <c r="I505" s="806"/>
      <c r="J505" s="806"/>
      <c r="K505" s="806"/>
    </row>
    <row r="506" spans="1:11">
      <c r="A506" s="806"/>
      <c r="B506" s="806"/>
      <c r="C506" s="806"/>
      <c r="D506" s="806"/>
      <c r="E506" s="806"/>
      <c r="F506" s="806"/>
      <c r="G506" s="806"/>
      <c r="H506" s="806"/>
      <c r="I506" s="806"/>
      <c r="J506" s="806"/>
      <c r="K506" s="806"/>
    </row>
    <row r="507" spans="1:11">
      <c r="A507" s="806"/>
      <c r="B507" s="806"/>
      <c r="C507" s="806"/>
      <c r="D507" s="806"/>
      <c r="E507" s="806"/>
      <c r="F507" s="806"/>
      <c r="G507" s="806"/>
      <c r="H507" s="806"/>
      <c r="I507" s="806"/>
      <c r="J507" s="806"/>
      <c r="K507" s="806"/>
    </row>
    <row r="508" spans="1:11">
      <c r="A508" s="806"/>
      <c r="B508" s="806"/>
      <c r="C508" s="806"/>
      <c r="D508" s="806"/>
      <c r="E508" s="806"/>
      <c r="F508" s="806"/>
      <c r="G508" s="806"/>
      <c r="H508" s="806"/>
      <c r="I508" s="806"/>
      <c r="J508" s="806"/>
      <c r="K508" s="806"/>
    </row>
    <row r="509" spans="1:11">
      <c r="A509" s="806"/>
      <c r="B509" s="806"/>
      <c r="C509" s="806"/>
      <c r="D509" s="806"/>
      <c r="E509" s="806"/>
      <c r="F509" s="806"/>
      <c r="G509" s="806"/>
      <c r="H509" s="806"/>
      <c r="I509" s="806"/>
      <c r="J509" s="806"/>
      <c r="K509" s="806"/>
    </row>
    <row r="510" spans="1:11">
      <c r="A510" s="806"/>
      <c r="B510" s="806"/>
      <c r="C510" s="806"/>
      <c r="D510" s="806"/>
      <c r="E510" s="806"/>
      <c r="F510" s="806"/>
      <c r="G510" s="806"/>
      <c r="H510" s="806"/>
      <c r="I510" s="806"/>
      <c r="J510" s="806"/>
      <c r="K510" s="806"/>
    </row>
    <row r="511" spans="1:11">
      <c r="A511" s="806"/>
      <c r="B511" s="806"/>
      <c r="C511" s="806"/>
      <c r="D511" s="806"/>
      <c r="E511" s="806"/>
      <c r="F511" s="806"/>
      <c r="G511" s="806"/>
      <c r="H511" s="806"/>
      <c r="I511" s="806"/>
      <c r="J511" s="806"/>
      <c r="K511" s="806"/>
    </row>
    <row r="512" spans="1:11">
      <c r="A512" s="806"/>
      <c r="B512" s="806"/>
      <c r="C512" s="806"/>
      <c r="D512" s="806"/>
      <c r="E512" s="806"/>
      <c r="F512" s="806"/>
      <c r="G512" s="806"/>
      <c r="H512" s="806"/>
      <c r="I512" s="806"/>
      <c r="J512" s="806"/>
      <c r="K512" s="806"/>
    </row>
    <row r="513" spans="1:11">
      <c r="A513" s="821"/>
      <c r="B513" s="821"/>
      <c r="C513" s="821"/>
      <c r="D513" s="821"/>
      <c r="E513" s="821"/>
      <c r="F513" s="821"/>
      <c r="G513" s="821"/>
      <c r="H513" s="821"/>
      <c r="I513" s="806"/>
      <c r="J513" s="806"/>
      <c r="K513" s="806"/>
    </row>
    <row r="514" spans="1:11">
      <c r="A514" s="821"/>
      <c r="B514" s="821"/>
      <c r="C514" s="821"/>
      <c r="D514" s="821"/>
      <c r="E514" s="821"/>
      <c r="F514" s="821"/>
      <c r="G514" s="821"/>
      <c r="H514" s="821"/>
      <c r="I514" s="821"/>
      <c r="J514" s="821"/>
      <c r="K514" s="821"/>
    </row>
    <row r="515" spans="1:11">
      <c r="A515" s="821"/>
      <c r="B515" s="821"/>
      <c r="C515" s="821"/>
      <c r="D515" s="821"/>
      <c r="E515" s="821"/>
      <c r="F515" s="821"/>
      <c r="G515" s="821"/>
      <c r="H515" s="821"/>
      <c r="I515" s="821"/>
      <c r="J515" s="821"/>
      <c r="K515" s="821"/>
    </row>
    <row r="516" spans="1:11">
      <c r="A516" s="821"/>
      <c r="B516" s="821"/>
      <c r="C516" s="821"/>
      <c r="D516" s="821"/>
      <c r="E516" s="821"/>
      <c r="F516" s="821"/>
      <c r="G516" s="821"/>
      <c r="H516" s="821"/>
      <c r="I516" s="821"/>
      <c r="J516" s="821"/>
      <c r="K516" s="821"/>
    </row>
    <row r="517" spans="1:11">
      <c r="A517" s="821"/>
      <c r="B517" s="821"/>
      <c r="C517" s="821"/>
      <c r="D517" s="821"/>
      <c r="E517" s="821"/>
      <c r="F517" s="821"/>
      <c r="G517" s="821"/>
      <c r="H517" s="821"/>
      <c r="I517" s="821"/>
      <c r="J517" s="821"/>
      <c r="K517" s="821"/>
    </row>
    <row r="518" spans="1:11">
      <c r="A518" s="821"/>
      <c r="B518" s="821"/>
      <c r="C518" s="821"/>
      <c r="D518" s="821"/>
      <c r="E518" s="821"/>
      <c r="F518" s="821"/>
      <c r="G518" s="821"/>
      <c r="H518" s="821"/>
      <c r="I518" s="821"/>
      <c r="J518" s="821"/>
      <c r="K518" s="821"/>
    </row>
    <row r="519" spans="1:11">
      <c r="A519" s="821"/>
      <c r="B519" s="821"/>
      <c r="C519" s="821"/>
      <c r="D519" s="821"/>
      <c r="E519" s="821"/>
      <c r="F519" s="821"/>
      <c r="G519" s="821"/>
      <c r="H519" s="821"/>
      <c r="I519" s="821"/>
      <c r="J519" s="821"/>
      <c r="K519" s="821"/>
    </row>
    <row r="520" spans="1:11">
      <c r="A520" s="821"/>
      <c r="B520" s="821"/>
      <c r="C520" s="821"/>
      <c r="D520" s="821"/>
      <c r="E520" s="821"/>
      <c r="F520" s="821"/>
      <c r="G520" s="821"/>
      <c r="H520" s="821"/>
      <c r="I520" s="821"/>
      <c r="J520" s="821"/>
      <c r="K520" s="821"/>
    </row>
    <row r="521" spans="1:11">
      <c r="A521" s="821"/>
      <c r="B521" s="821"/>
      <c r="C521" s="821"/>
      <c r="D521" s="821"/>
      <c r="E521" s="821"/>
      <c r="F521" s="821"/>
      <c r="G521" s="821"/>
      <c r="H521" s="821"/>
      <c r="I521" s="821"/>
      <c r="J521" s="821"/>
      <c r="K521" s="821"/>
    </row>
    <row r="522" spans="1:11">
      <c r="A522" s="821"/>
      <c r="B522" s="821"/>
      <c r="C522" s="821"/>
      <c r="D522" s="821"/>
      <c r="E522" s="821"/>
      <c r="F522" s="821"/>
      <c r="G522" s="821"/>
      <c r="H522" s="821"/>
      <c r="I522" s="821"/>
      <c r="J522" s="821"/>
      <c r="K522" s="821"/>
    </row>
    <row r="523" spans="1:11">
      <c r="A523" s="821"/>
      <c r="B523" s="821"/>
      <c r="C523" s="821"/>
      <c r="D523" s="821"/>
      <c r="E523" s="821"/>
      <c r="F523" s="821"/>
      <c r="G523" s="821"/>
      <c r="H523" s="821"/>
      <c r="I523" s="821"/>
      <c r="J523" s="821"/>
      <c r="K523" s="821"/>
    </row>
    <row r="524" spans="1:11">
      <c r="A524" s="821"/>
      <c r="B524" s="821"/>
      <c r="C524" s="821"/>
      <c r="D524" s="821"/>
      <c r="E524" s="821"/>
      <c r="F524" s="821"/>
      <c r="G524" s="821"/>
      <c r="H524" s="821"/>
      <c r="I524" s="821"/>
      <c r="J524" s="821"/>
      <c r="K524" s="821"/>
    </row>
    <row r="525" spans="1:11">
      <c r="A525" s="821"/>
      <c r="B525" s="821"/>
      <c r="C525" s="821"/>
      <c r="D525" s="821"/>
      <c r="E525" s="821"/>
      <c r="F525" s="821"/>
      <c r="G525" s="821"/>
      <c r="H525" s="821"/>
      <c r="I525" s="821"/>
      <c r="J525" s="821"/>
      <c r="K525" s="821"/>
    </row>
    <row r="526" spans="1:11">
      <c r="A526" s="821"/>
      <c r="B526" s="821"/>
      <c r="C526" s="821"/>
      <c r="D526" s="821"/>
      <c r="E526" s="821"/>
      <c r="F526" s="821"/>
      <c r="G526" s="821"/>
      <c r="H526" s="821"/>
      <c r="I526" s="821"/>
      <c r="J526" s="821"/>
      <c r="K526" s="821"/>
    </row>
    <row r="527" spans="1:11">
      <c r="A527" s="821"/>
      <c r="B527" s="821"/>
      <c r="C527" s="821"/>
      <c r="D527" s="821"/>
      <c r="E527" s="821"/>
      <c r="F527" s="821"/>
      <c r="G527" s="821"/>
      <c r="H527" s="821"/>
      <c r="I527" s="821"/>
      <c r="J527" s="821"/>
      <c r="K527" s="821"/>
    </row>
    <row r="528" spans="1:11">
      <c r="A528" s="821"/>
      <c r="B528" s="821"/>
      <c r="C528" s="821"/>
      <c r="D528" s="821"/>
      <c r="E528" s="821"/>
      <c r="F528" s="821"/>
      <c r="G528" s="821"/>
      <c r="H528" s="821"/>
      <c r="I528" s="821"/>
      <c r="J528" s="821"/>
      <c r="K528" s="821"/>
    </row>
    <row r="529" spans="1:11">
      <c r="A529" s="821"/>
      <c r="B529" s="821"/>
      <c r="C529" s="821"/>
      <c r="D529" s="821"/>
      <c r="E529" s="821"/>
      <c r="F529" s="821"/>
      <c r="G529" s="821"/>
      <c r="H529" s="821"/>
      <c r="I529" s="821"/>
      <c r="J529" s="821"/>
      <c r="K529" s="821"/>
    </row>
    <row r="530" spans="1:11">
      <c r="A530" s="821"/>
      <c r="B530" s="821"/>
      <c r="C530" s="821"/>
      <c r="D530" s="821"/>
      <c r="E530" s="821"/>
      <c r="F530" s="821"/>
      <c r="G530" s="821"/>
      <c r="H530" s="821"/>
      <c r="I530" s="821"/>
      <c r="J530" s="821"/>
      <c r="K530" s="821"/>
    </row>
    <row r="531" spans="1:11">
      <c r="A531" s="821"/>
      <c r="B531" s="821"/>
      <c r="C531" s="821"/>
      <c r="D531" s="821"/>
      <c r="E531" s="821"/>
      <c r="F531" s="821"/>
      <c r="G531" s="821"/>
      <c r="H531" s="821"/>
      <c r="I531" s="821"/>
      <c r="J531" s="821"/>
      <c r="K531" s="821"/>
    </row>
    <row r="532" spans="1:11">
      <c r="A532" s="821"/>
      <c r="B532" s="821"/>
      <c r="C532" s="821"/>
      <c r="D532" s="821"/>
      <c r="E532" s="821"/>
      <c r="F532" s="821"/>
      <c r="G532" s="821"/>
      <c r="H532" s="821"/>
      <c r="I532" s="821"/>
      <c r="J532" s="821"/>
      <c r="K532" s="821"/>
    </row>
    <row r="533" spans="1:11">
      <c r="A533" s="821"/>
      <c r="B533" s="821"/>
      <c r="C533" s="821"/>
      <c r="D533" s="821"/>
      <c r="E533" s="821"/>
      <c r="F533" s="821"/>
      <c r="G533" s="821"/>
      <c r="H533" s="821"/>
      <c r="I533" s="821"/>
      <c r="J533" s="821"/>
      <c r="K533" s="821"/>
    </row>
    <row r="534" spans="1:11">
      <c r="A534" s="821"/>
      <c r="B534" s="821"/>
      <c r="C534" s="821"/>
      <c r="D534" s="821"/>
      <c r="E534" s="821"/>
      <c r="F534" s="821"/>
      <c r="G534" s="821"/>
      <c r="H534" s="821"/>
      <c r="I534" s="821"/>
      <c r="J534" s="821"/>
      <c r="K534" s="821"/>
    </row>
    <row r="535" spans="1:11">
      <c r="A535" s="821"/>
      <c r="B535" s="821"/>
      <c r="C535" s="821"/>
      <c r="D535" s="821"/>
      <c r="E535" s="821"/>
      <c r="F535" s="821"/>
      <c r="G535" s="821"/>
      <c r="H535" s="821"/>
      <c r="I535" s="821"/>
      <c r="J535" s="821"/>
      <c r="K535" s="821"/>
    </row>
    <row r="536" spans="1:11">
      <c r="A536" s="821"/>
      <c r="B536" s="821"/>
      <c r="C536" s="821"/>
      <c r="D536" s="821"/>
      <c r="E536" s="821"/>
      <c r="F536" s="821"/>
      <c r="G536" s="821"/>
      <c r="H536" s="821"/>
      <c r="I536" s="821"/>
      <c r="J536" s="821"/>
      <c r="K536" s="821"/>
    </row>
    <row r="537" spans="1:11">
      <c r="A537" s="821"/>
      <c r="B537" s="821"/>
      <c r="C537" s="821"/>
      <c r="D537" s="821"/>
      <c r="E537" s="821"/>
      <c r="F537" s="821"/>
      <c r="G537" s="821"/>
      <c r="H537" s="821"/>
      <c r="I537" s="821"/>
      <c r="J537" s="821"/>
      <c r="K537" s="821"/>
    </row>
    <row r="538" spans="1:11">
      <c r="A538" s="821"/>
      <c r="B538" s="821"/>
      <c r="C538" s="821"/>
      <c r="D538" s="821"/>
      <c r="E538" s="821"/>
      <c r="F538" s="821"/>
      <c r="G538" s="821"/>
      <c r="H538" s="821"/>
      <c r="I538" s="821"/>
      <c r="J538" s="821"/>
      <c r="K538" s="821"/>
    </row>
    <row r="539" spans="1:11">
      <c r="A539" s="821"/>
      <c r="B539" s="821"/>
      <c r="C539" s="821"/>
      <c r="D539" s="821"/>
      <c r="E539" s="821"/>
      <c r="F539" s="821"/>
      <c r="G539" s="821"/>
      <c r="H539" s="821"/>
      <c r="I539" s="821"/>
      <c r="J539" s="821"/>
      <c r="K539" s="821"/>
    </row>
    <row r="540" spans="1:11">
      <c r="A540" s="821"/>
      <c r="B540" s="821"/>
      <c r="C540" s="821"/>
      <c r="D540" s="821"/>
      <c r="E540" s="821"/>
      <c r="F540" s="821"/>
      <c r="G540" s="821"/>
      <c r="H540" s="821"/>
      <c r="I540" s="821"/>
      <c r="J540" s="821"/>
      <c r="K540" s="821"/>
    </row>
    <row r="541" spans="1:11">
      <c r="A541" s="821"/>
      <c r="B541" s="821"/>
      <c r="C541" s="821"/>
      <c r="D541" s="821"/>
      <c r="E541" s="821"/>
      <c r="F541" s="821"/>
      <c r="G541" s="821"/>
      <c r="H541" s="821"/>
      <c r="I541" s="821"/>
      <c r="J541" s="821"/>
      <c r="K541" s="821"/>
    </row>
    <row r="542" spans="1:11">
      <c r="A542" s="821"/>
      <c r="B542" s="821"/>
      <c r="C542" s="821"/>
      <c r="D542" s="821"/>
      <c r="E542" s="821"/>
      <c r="F542" s="821"/>
      <c r="G542" s="821"/>
      <c r="H542" s="821"/>
      <c r="I542" s="821"/>
      <c r="J542" s="821"/>
      <c r="K542" s="821"/>
    </row>
    <row r="543" spans="1:11">
      <c r="A543" s="821"/>
      <c r="B543" s="821"/>
      <c r="C543" s="821"/>
      <c r="D543" s="821"/>
      <c r="E543" s="821"/>
      <c r="F543" s="821"/>
      <c r="G543" s="821"/>
      <c r="H543" s="821"/>
      <c r="I543" s="821"/>
      <c r="J543" s="821"/>
      <c r="K543" s="821"/>
    </row>
    <row r="544" spans="1:11">
      <c r="A544" s="821"/>
      <c r="B544" s="821"/>
      <c r="C544" s="821"/>
      <c r="D544" s="821"/>
      <c r="E544" s="821"/>
      <c r="F544" s="821"/>
      <c r="G544" s="821"/>
      <c r="H544" s="821"/>
      <c r="I544" s="821"/>
      <c r="J544" s="821"/>
      <c r="K544" s="821"/>
    </row>
    <row r="545" spans="1:11">
      <c r="A545" s="821"/>
      <c r="B545" s="821"/>
      <c r="C545" s="821"/>
      <c r="D545" s="821"/>
      <c r="E545" s="821"/>
      <c r="F545" s="821"/>
      <c r="G545" s="821"/>
      <c r="H545" s="821"/>
      <c r="I545" s="821"/>
      <c r="J545" s="821"/>
      <c r="K545" s="821"/>
    </row>
    <row r="546" spans="1:11">
      <c r="A546" s="821"/>
      <c r="B546" s="821"/>
      <c r="C546" s="821"/>
      <c r="D546" s="821"/>
      <c r="E546" s="821"/>
      <c r="F546" s="821"/>
      <c r="G546" s="821"/>
      <c r="H546" s="821"/>
      <c r="I546" s="821"/>
      <c r="J546" s="821"/>
      <c r="K546" s="821"/>
    </row>
    <row r="547" spans="1:11">
      <c r="A547" s="821"/>
      <c r="B547" s="821"/>
      <c r="C547" s="821"/>
      <c r="D547" s="821"/>
      <c r="E547" s="821"/>
      <c r="F547" s="821"/>
      <c r="G547" s="821"/>
      <c r="H547" s="821"/>
      <c r="I547" s="821"/>
      <c r="J547" s="821"/>
      <c r="K547" s="821"/>
    </row>
    <row r="548" spans="1:11">
      <c r="A548" s="821"/>
      <c r="B548" s="821"/>
      <c r="C548" s="821"/>
      <c r="D548" s="821"/>
      <c r="E548" s="821"/>
      <c r="F548" s="821"/>
      <c r="G548" s="821"/>
      <c r="H548" s="821"/>
      <c r="I548" s="821"/>
      <c r="J548" s="821"/>
      <c r="K548" s="821"/>
    </row>
    <row r="549" spans="1:11">
      <c r="A549" s="821"/>
      <c r="B549" s="821"/>
      <c r="C549" s="821"/>
      <c r="D549" s="821"/>
      <c r="E549" s="821"/>
      <c r="F549" s="821"/>
      <c r="G549" s="821"/>
      <c r="H549" s="821"/>
      <c r="I549" s="821"/>
      <c r="J549" s="821"/>
      <c r="K549" s="821"/>
    </row>
    <row r="550" spans="1:11">
      <c r="A550" s="821"/>
      <c r="B550" s="821"/>
      <c r="C550" s="821"/>
      <c r="D550" s="821"/>
      <c r="E550" s="821"/>
      <c r="F550" s="821"/>
      <c r="G550" s="821"/>
      <c r="H550" s="821"/>
      <c r="I550" s="821"/>
      <c r="J550" s="821"/>
      <c r="K550" s="821"/>
    </row>
    <row r="551" spans="1:11">
      <c r="A551" s="821"/>
      <c r="B551" s="821"/>
      <c r="C551" s="821"/>
      <c r="D551" s="821"/>
      <c r="E551" s="821"/>
      <c r="F551" s="821"/>
      <c r="G551" s="821"/>
      <c r="H551" s="821"/>
      <c r="I551" s="821"/>
      <c r="J551" s="821"/>
      <c r="K551" s="821"/>
    </row>
    <row r="552" spans="1:11">
      <c r="A552" s="821"/>
      <c r="B552" s="821"/>
      <c r="C552" s="821"/>
      <c r="D552" s="821"/>
      <c r="E552" s="821"/>
      <c r="F552" s="821"/>
      <c r="G552" s="821"/>
      <c r="H552" s="821"/>
      <c r="I552" s="821"/>
      <c r="J552" s="821"/>
      <c r="K552" s="821"/>
    </row>
    <row r="553" spans="1:11">
      <c r="A553" s="821"/>
      <c r="B553" s="821"/>
      <c r="C553" s="821"/>
      <c r="D553" s="821"/>
      <c r="E553" s="821"/>
      <c r="F553" s="821"/>
      <c r="G553" s="821"/>
      <c r="H553" s="821"/>
      <c r="I553" s="821"/>
      <c r="J553" s="821"/>
      <c r="K553" s="821"/>
    </row>
    <row r="554" spans="1:11">
      <c r="A554" s="821"/>
      <c r="B554" s="821"/>
      <c r="C554" s="821"/>
      <c r="D554" s="821"/>
      <c r="E554" s="821"/>
      <c r="F554" s="821"/>
      <c r="G554" s="821"/>
      <c r="H554" s="821"/>
      <c r="I554" s="821"/>
      <c r="J554" s="821"/>
      <c r="K554" s="821"/>
    </row>
    <row r="555" spans="1:11">
      <c r="A555" s="821"/>
      <c r="B555" s="821"/>
      <c r="C555" s="821"/>
      <c r="D555" s="821"/>
      <c r="E555" s="821"/>
      <c r="F555" s="821"/>
      <c r="G555" s="821"/>
      <c r="H555" s="821"/>
      <c r="I555" s="821"/>
      <c r="J555" s="821"/>
      <c r="K555" s="821"/>
    </row>
    <row r="556" spans="1:11">
      <c r="A556" s="821"/>
      <c r="B556" s="821"/>
      <c r="C556" s="821"/>
      <c r="D556" s="821"/>
      <c r="E556" s="821"/>
      <c r="F556" s="821"/>
      <c r="G556" s="821"/>
      <c r="H556" s="821"/>
      <c r="I556" s="821"/>
      <c r="J556" s="821"/>
      <c r="K556" s="821"/>
    </row>
    <row r="557" spans="1:11">
      <c r="A557" s="821"/>
      <c r="B557" s="821"/>
      <c r="C557" s="821"/>
      <c r="D557" s="821"/>
      <c r="E557" s="821"/>
      <c r="F557" s="821"/>
      <c r="G557" s="821"/>
      <c r="H557" s="821"/>
      <c r="I557" s="821"/>
      <c r="J557" s="821"/>
      <c r="K557" s="821"/>
    </row>
    <row r="558" spans="1:11">
      <c r="A558" s="821"/>
      <c r="B558" s="821"/>
      <c r="C558" s="821"/>
      <c r="D558" s="821"/>
      <c r="E558" s="821"/>
      <c r="F558" s="821"/>
      <c r="G558" s="821"/>
      <c r="H558" s="821"/>
      <c r="I558" s="821"/>
      <c r="J558" s="821"/>
      <c r="K558" s="821"/>
    </row>
    <row r="559" spans="1:11">
      <c r="A559" s="821"/>
      <c r="B559" s="821"/>
      <c r="C559" s="821"/>
      <c r="D559" s="821"/>
      <c r="E559" s="821"/>
      <c r="F559" s="821"/>
      <c r="G559" s="821"/>
      <c r="H559" s="821"/>
      <c r="I559" s="821"/>
      <c r="J559" s="821"/>
      <c r="K559" s="821"/>
    </row>
    <row r="560" spans="1:11">
      <c r="A560" s="821"/>
      <c r="B560" s="821"/>
      <c r="C560" s="821"/>
      <c r="D560" s="821"/>
      <c r="E560" s="821"/>
      <c r="F560" s="821"/>
      <c r="G560" s="821"/>
      <c r="H560" s="821"/>
      <c r="I560" s="821"/>
      <c r="J560" s="821"/>
      <c r="K560" s="821"/>
    </row>
    <row r="561" spans="1:11">
      <c r="A561" s="821"/>
      <c r="B561" s="821"/>
      <c r="C561" s="821"/>
      <c r="D561" s="821"/>
      <c r="E561" s="821"/>
      <c r="F561" s="821"/>
      <c r="G561" s="821"/>
      <c r="H561" s="821"/>
      <c r="I561" s="821"/>
      <c r="J561" s="821"/>
      <c r="K561" s="821"/>
    </row>
    <row r="562" spans="1:11">
      <c r="A562" s="821"/>
      <c r="B562" s="821"/>
      <c r="C562" s="821"/>
      <c r="D562" s="821"/>
      <c r="E562" s="821"/>
      <c r="F562" s="821"/>
      <c r="G562" s="821"/>
      <c r="H562" s="821"/>
      <c r="I562" s="821"/>
      <c r="J562" s="821"/>
      <c r="K562" s="821"/>
    </row>
    <row r="563" spans="1:11">
      <c r="A563" s="821"/>
      <c r="B563" s="821"/>
      <c r="C563" s="821"/>
      <c r="D563" s="821"/>
      <c r="E563" s="821"/>
      <c r="F563" s="821"/>
      <c r="G563" s="821"/>
      <c r="H563" s="821"/>
      <c r="I563" s="821"/>
      <c r="J563" s="821"/>
      <c r="K563" s="821"/>
    </row>
    <row r="564" spans="1:11">
      <c r="A564" s="821"/>
      <c r="B564" s="821"/>
      <c r="C564" s="821"/>
      <c r="D564" s="821"/>
      <c r="E564" s="821"/>
      <c r="F564" s="821"/>
      <c r="G564" s="821"/>
      <c r="H564" s="821"/>
      <c r="I564" s="821"/>
      <c r="J564" s="821"/>
      <c r="K564" s="821"/>
    </row>
    <row r="565" spans="1:11">
      <c r="A565" s="821"/>
      <c r="B565" s="821"/>
      <c r="C565" s="821"/>
      <c r="D565" s="821"/>
      <c r="E565" s="821"/>
      <c r="F565" s="821"/>
      <c r="G565" s="821"/>
      <c r="H565" s="821"/>
      <c r="I565" s="821"/>
      <c r="J565" s="821"/>
      <c r="K565" s="821"/>
    </row>
    <row r="566" spans="1:11">
      <c r="A566" s="821"/>
      <c r="B566" s="821"/>
      <c r="C566" s="821"/>
      <c r="D566" s="821"/>
      <c r="E566" s="821"/>
      <c r="F566" s="821"/>
      <c r="G566" s="821"/>
      <c r="H566" s="821"/>
      <c r="I566" s="821"/>
      <c r="J566" s="821"/>
      <c r="K566" s="821"/>
    </row>
    <row r="567" spans="1:11">
      <c r="A567" s="821"/>
      <c r="B567" s="821"/>
      <c r="C567" s="821"/>
      <c r="D567" s="821"/>
      <c r="E567" s="821"/>
      <c r="F567" s="821"/>
      <c r="G567" s="821"/>
      <c r="H567" s="821"/>
      <c r="I567" s="821"/>
      <c r="J567" s="821"/>
      <c r="K567" s="821"/>
    </row>
    <row r="568" spans="1:11">
      <c r="A568" s="821"/>
      <c r="B568" s="821"/>
      <c r="C568" s="821"/>
      <c r="D568" s="821"/>
      <c r="E568" s="821"/>
      <c r="F568" s="821"/>
      <c r="G568" s="821"/>
      <c r="H568" s="821"/>
      <c r="I568" s="821"/>
      <c r="J568" s="821"/>
      <c r="K568" s="821"/>
    </row>
    <row r="569" spans="1:11">
      <c r="A569" s="821"/>
      <c r="B569" s="821"/>
      <c r="C569" s="821"/>
      <c r="D569" s="821"/>
      <c r="E569" s="821"/>
      <c r="F569" s="821"/>
      <c r="G569" s="821"/>
      <c r="H569" s="821"/>
      <c r="I569" s="821"/>
      <c r="J569" s="821"/>
      <c r="K569" s="821"/>
    </row>
    <row r="570" spans="1:11">
      <c r="A570" s="821"/>
      <c r="B570" s="821"/>
      <c r="C570" s="821"/>
      <c r="D570" s="821"/>
      <c r="E570" s="821"/>
      <c r="F570" s="821"/>
      <c r="G570" s="821"/>
      <c r="H570" s="821"/>
      <c r="I570" s="821"/>
      <c r="J570" s="821"/>
      <c r="K570" s="821"/>
    </row>
    <row r="571" spans="1:11">
      <c r="A571" s="821"/>
      <c r="B571" s="821"/>
      <c r="C571" s="821"/>
      <c r="D571" s="821"/>
      <c r="E571" s="821"/>
      <c r="F571" s="821"/>
      <c r="G571" s="821"/>
      <c r="H571" s="821"/>
      <c r="I571" s="821"/>
      <c r="J571" s="821"/>
      <c r="K571" s="821"/>
    </row>
    <row r="572" spans="1:11">
      <c r="I572" s="821"/>
      <c r="J572" s="821"/>
      <c r="K572" s="821"/>
    </row>
  </sheetData>
  <printOptions gridLinesSet="0"/>
  <pageMargins left="0.78740157480314965" right="0" top="0.51181102362204722" bottom="0.51181102362204722" header="0.51181102362204722" footer="0.51181102362204722"/>
  <pageSetup paperSize="9" scale="62" orientation="portrait" horizontalDpi="300" verticalDpi="300" r:id="rId1"/>
  <headerFooter alignWithMargins="0">
    <oddFooter>&amp;C&amp;8&amp;P of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61"/>
  <sheetViews>
    <sheetView showGridLines="0" zoomScaleNormal="100" workbookViewId="0"/>
  </sheetViews>
  <sheetFormatPr defaultColWidth="10" defaultRowHeight="14.5"/>
  <cols>
    <col min="1" max="1" width="4.8984375" style="557" customWidth="1"/>
    <col min="2" max="2" width="45.69921875" style="557" customWidth="1"/>
    <col min="3" max="3" width="11.59765625" style="557" customWidth="1"/>
    <col min="4" max="4" width="10" style="557" customWidth="1"/>
    <col min="5" max="5" width="2.296875" style="557" customWidth="1"/>
    <col min="6" max="6" width="30.69921875" style="557" customWidth="1"/>
    <col min="7" max="16384" width="10" style="557"/>
  </cols>
  <sheetData>
    <row r="1" spans="1:10">
      <c r="A1" s="556" t="s">
        <v>9176</v>
      </c>
      <c r="D1" s="558">
        <v>2016</v>
      </c>
    </row>
    <row r="3" spans="1:10">
      <c r="A3" s="556" t="s">
        <v>10040</v>
      </c>
      <c r="D3" s="559">
        <f t="shared" ref="D3" si="0">SUM(D15:D30)</f>
        <v>104458</v>
      </c>
    </row>
    <row r="5" spans="1:10">
      <c r="A5" s="556" t="s">
        <v>10041</v>
      </c>
      <c r="D5" s="559">
        <f t="shared" ref="D5" si="1">SUM(D15:D17)+D19+D20+SUM(D23:D29)</f>
        <v>77995</v>
      </c>
      <c r="F5" s="556" t="s">
        <v>10042</v>
      </c>
    </row>
    <row r="6" spans="1:10">
      <c r="D6" s="560"/>
    </row>
    <row r="7" spans="1:10">
      <c r="A7" s="556" t="s">
        <v>10043</v>
      </c>
      <c r="D7" s="559">
        <f t="shared" ref="D7" si="2">D18+D21+D22+D30</f>
        <v>26463</v>
      </c>
      <c r="F7" s="556" t="s">
        <v>10042</v>
      </c>
    </row>
    <row r="8" spans="1:10" ht="15" thickBot="1">
      <c r="D8" s="561">
        <f>RICHMOND!D6</f>
        <v>48277</v>
      </c>
      <c r="F8" s="556" t="s">
        <v>10044</v>
      </c>
    </row>
    <row r="9" spans="1:10" ht="15" thickBot="1">
      <c r="D9" s="561">
        <f t="shared" ref="D9" si="3">D7+D8</f>
        <v>74740</v>
      </c>
    </row>
    <row r="10" spans="1:10">
      <c r="D10" s="560"/>
    </row>
    <row r="11" spans="1:10">
      <c r="A11" s="556" t="s">
        <v>10045</v>
      </c>
      <c r="D11" s="559">
        <f>RICHMOND!D9</f>
        <v>78247</v>
      </c>
      <c r="F11" s="556" t="s">
        <v>10044</v>
      </c>
    </row>
    <row r="12" spans="1:10">
      <c r="D12" s="560"/>
    </row>
    <row r="13" spans="1:10">
      <c r="A13" s="556" t="s">
        <v>1041</v>
      </c>
      <c r="D13" s="559">
        <f t="shared" ref="D13" si="4">D5+D7</f>
        <v>104458</v>
      </c>
    </row>
    <row r="14" spans="1:10">
      <c r="D14" s="560"/>
    </row>
    <row r="15" spans="1:10">
      <c r="A15" s="556" t="s">
        <v>812</v>
      </c>
      <c r="B15" s="556" t="s">
        <v>8895</v>
      </c>
      <c r="C15" s="292" t="s">
        <v>10046</v>
      </c>
      <c r="D15" s="293">
        <v>6494</v>
      </c>
      <c r="F15" s="556" t="s">
        <v>10041</v>
      </c>
      <c r="H15" s="292"/>
      <c r="J15" s="292"/>
    </row>
    <row r="16" spans="1:10">
      <c r="A16" s="556" t="s">
        <v>813</v>
      </c>
      <c r="B16" s="556" t="s">
        <v>10047</v>
      </c>
      <c r="C16" s="292" t="s">
        <v>10048</v>
      </c>
      <c r="D16" s="293">
        <v>6287</v>
      </c>
      <c r="F16" s="556" t="s">
        <v>10041</v>
      </c>
      <c r="H16" s="292"/>
      <c r="J16" s="292"/>
    </row>
    <row r="17" spans="1:10">
      <c r="A17" s="556" t="s">
        <v>814</v>
      </c>
      <c r="B17" s="556" t="s">
        <v>10049</v>
      </c>
      <c r="C17" s="292" t="s">
        <v>10050</v>
      </c>
      <c r="D17" s="293">
        <v>6671</v>
      </c>
      <c r="F17" s="556" t="s">
        <v>10041</v>
      </c>
      <c r="H17" s="292"/>
      <c r="J17" s="292"/>
    </row>
    <row r="18" spans="1:10">
      <c r="A18" s="556" t="s">
        <v>815</v>
      </c>
      <c r="B18" s="556" t="s">
        <v>10051</v>
      </c>
      <c r="C18" s="292" t="s">
        <v>10052</v>
      </c>
      <c r="D18" s="293">
        <v>7844</v>
      </c>
      <c r="F18" s="556" t="s">
        <v>10043</v>
      </c>
      <c r="H18" s="292"/>
      <c r="J18" s="292"/>
    </row>
    <row r="19" spans="1:10">
      <c r="A19" s="556" t="s">
        <v>816</v>
      </c>
      <c r="B19" s="556" t="s">
        <v>10053</v>
      </c>
      <c r="C19" s="292" t="s">
        <v>10054</v>
      </c>
      <c r="D19" s="293">
        <v>6254</v>
      </c>
      <c r="F19" s="556" t="s">
        <v>10041</v>
      </c>
      <c r="H19" s="292"/>
      <c r="J19" s="292"/>
    </row>
    <row r="20" spans="1:10">
      <c r="A20" s="556" t="s">
        <v>826</v>
      </c>
      <c r="B20" s="556" t="s">
        <v>10055</v>
      </c>
      <c r="C20" s="292" t="s">
        <v>10056</v>
      </c>
      <c r="D20" s="293">
        <v>7335</v>
      </c>
      <c r="F20" s="556" t="s">
        <v>10041</v>
      </c>
      <c r="H20" s="292"/>
      <c r="J20" s="292"/>
    </row>
    <row r="21" spans="1:10">
      <c r="A21" s="556" t="s">
        <v>827</v>
      </c>
      <c r="B21" s="556" t="s">
        <v>1013</v>
      </c>
      <c r="C21" s="292" t="s">
        <v>10057</v>
      </c>
      <c r="D21" s="293">
        <v>5953</v>
      </c>
      <c r="F21" s="556" t="s">
        <v>10043</v>
      </c>
      <c r="H21" s="292"/>
      <c r="J21" s="292"/>
    </row>
    <row r="22" spans="1:10">
      <c r="A22" s="556" t="s">
        <v>828</v>
      </c>
      <c r="B22" s="556" t="s">
        <v>10058</v>
      </c>
      <c r="C22" s="292" t="s">
        <v>10059</v>
      </c>
      <c r="D22" s="293">
        <v>6365</v>
      </c>
      <c r="F22" s="556" t="s">
        <v>10043</v>
      </c>
      <c r="H22" s="292"/>
      <c r="J22" s="292"/>
    </row>
    <row r="23" spans="1:10">
      <c r="A23" s="556" t="s">
        <v>829</v>
      </c>
      <c r="B23" s="556" t="s">
        <v>10060</v>
      </c>
      <c r="C23" s="292" t="s">
        <v>10061</v>
      </c>
      <c r="D23" s="293">
        <v>6303</v>
      </c>
      <c r="F23" s="556" t="s">
        <v>10041</v>
      </c>
      <c r="H23" s="292"/>
      <c r="J23" s="292"/>
    </row>
    <row r="24" spans="1:10">
      <c r="A24" s="556" t="s">
        <v>830</v>
      </c>
      <c r="B24" s="556" t="s">
        <v>10062</v>
      </c>
      <c r="C24" s="292" t="s">
        <v>10063</v>
      </c>
      <c r="D24" s="293">
        <v>5942</v>
      </c>
      <c r="F24" s="556" t="s">
        <v>10041</v>
      </c>
      <c r="H24" s="292"/>
      <c r="J24" s="292"/>
    </row>
    <row r="25" spans="1:10">
      <c r="A25" s="556" t="s">
        <v>831</v>
      </c>
      <c r="B25" s="556" t="s">
        <v>10064</v>
      </c>
      <c r="C25" s="292" t="s">
        <v>10065</v>
      </c>
      <c r="D25" s="293">
        <v>6694</v>
      </c>
      <c r="F25" s="556" t="s">
        <v>10041</v>
      </c>
      <c r="H25" s="292"/>
      <c r="J25" s="292"/>
    </row>
    <row r="26" spans="1:10">
      <c r="A26" s="556" t="s">
        <v>832</v>
      </c>
      <c r="B26" s="556" t="s">
        <v>504</v>
      </c>
      <c r="C26" s="292" t="s">
        <v>10066</v>
      </c>
      <c r="D26" s="293">
        <v>6232</v>
      </c>
      <c r="F26" s="556" t="s">
        <v>10041</v>
      </c>
      <c r="H26" s="292"/>
      <c r="J26" s="292"/>
    </row>
    <row r="27" spans="1:10">
      <c r="A27" s="556" t="s">
        <v>833</v>
      </c>
      <c r="B27" s="556" t="s">
        <v>1024</v>
      </c>
      <c r="C27" s="292" t="s">
        <v>10067</v>
      </c>
      <c r="D27" s="293">
        <v>6136</v>
      </c>
      <c r="F27" s="556" t="s">
        <v>10041</v>
      </c>
      <c r="H27" s="292"/>
      <c r="J27" s="292"/>
    </row>
    <row r="28" spans="1:10">
      <c r="A28" s="556" t="s">
        <v>834</v>
      </c>
      <c r="B28" s="556" t="s">
        <v>10068</v>
      </c>
      <c r="C28" s="292" t="s">
        <v>10069</v>
      </c>
      <c r="D28" s="293">
        <v>7026</v>
      </c>
      <c r="F28" s="556" t="s">
        <v>10041</v>
      </c>
      <c r="H28" s="292"/>
      <c r="J28" s="292"/>
    </row>
    <row r="29" spans="1:10">
      <c r="A29" s="556" t="s">
        <v>835</v>
      </c>
      <c r="B29" s="556" t="s">
        <v>10070</v>
      </c>
      <c r="C29" s="292" t="s">
        <v>10071</v>
      </c>
      <c r="D29" s="293">
        <v>6621</v>
      </c>
      <c r="F29" s="556" t="s">
        <v>10041</v>
      </c>
      <c r="H29" s="292"/>
      <c r="J29" s="292"/>
    </row>
    <row r="30" spans="1:10">
      <c r="A30" s="556" t="s">
        <v>836</v>
      </c>
      <c r="B30" s="556" t="s">
        <v>8330</v>
      </c>
      <c r="C30" s="292" t="s">
        <v>10072</v>
      </c>
      <c r="D30" s="295">
        <v>6301</v>
      </c>
      <c r="F30" s="556" t="s">
        <v>10043</v>
      </c>
      <c r="H30" s="292"/>
      <c r="J30" s="292"/>
    </row>
    <row r="32" spans="1:10">
      <c r="A32" s="556" t="s">
        <v>10073</v>
      </c>
    </row>
    <row r="33" spans="1:6">
      <c r="A33" s="557" t="s">
        <v>10074</v>
      </c>
    </row>
    <row r="35" spans="1:6" ht="20.25" customHeight="1">
      <c r="A35" s="556"/>
      <c r="D35" s="558"/>
    </row>
    <row r="37" spans="1:6">
      <c r="A37" s="556"/>
      <c r="B37" s="556"/>
      <c r="C37" s="556"/>
      <c r="D37" s="558"/>
      <c r="F37" s="556"/>
    </row>
    <row r="38" spans="1:6">
      <c r="A38" s="556"/>
      <c r="B38" s="556"/>
      <c r="C38" s="556"/>
      <c r="D38" s="558"/>
      <c r="F38" s="556"/>
    </row>
    <row r="39" spans="1:6">
      <c r="A39" s="556"/>
      <c r="B39" s="556"/>
      <c r="C39" s="556"/>
      <c r="D39" s="558"/>
      <c r="F39" s="556"/>
    </row>
    <row r="40" spans="1:6">
      <c r="A40" s="556"/>
      <c r="B40" s="556"/>
      <c r="C40" s="556"/>
      <c r="D40" s="558"/>
      <c r="F40" s="556"/>
    </row>
    <row r="41" spans="1:6">
      <c r="A41" s="556"/>
      <c r="B41" s="556"/>
      <c r="C41" s="556"/>
      <c r="D41" s="558"/>
      <c r="F41" s="556"/>
    </row>
    <row r="42" spans="1:6">
      <c r="A42" s="556"/>
      <c r="B42" s="556"/>
      <c r="C42" s="556"/>
      <c r="D42" s="558"/>
      <c r="F42" s="556"/>
    </row>
    <row r="43" spans="1:6">
      <c r="A43" s="556"/>
      <c r="B43" s="556"/>
      <c r="C43" s="556"/>
      <c r="D43" s="558"/>
      <c r="F43" s="556"/>
    </row>
    <row r="44" spans="1:6">
      <c r="A44" s="556"/>
      <c r="B44" s="556"/>
      <c r="C44" s="556"/>
      <c r="D44" s="558"/>
      <c r="F44" s="556"/>
    </row>
    <row r="45" spans="1:6">
      <c r="A45" s="556"/>
      <c r="B45" s="556"/>
      <c r="C45" s="556"/>
      <c r="D45" s="558"/>
      <c r="F45" s="556"/>
    </row>
    <row r="46" spans="1:6">
      <c r="A46" s="556"/>
      <c r="B46" s="556"/>
      <c r="C46" s="556"/>
      <c r="D46" s="558"/>
      <c r="F46" s="556"/>
    </row>
    <row r="47" spans="1:6">
      <c r="A47" s="556"/>
      <c r="B47" s="556"/>
      <c r="C47" s="556"/>
      <c r="D47" s="558"/>
      <c r="F47" s="556"/>
    </row>
    <row r="48" spans="1:6">
      <c r="A48" s="556"/>
      <c r="B48" s="556"/>
      <c r="C48" s="556"/>
      <c r="D48" s="558"/>
      <c r="F48" s="556"/>
    </row>
    <row r="49" spans="1:6">
      <c r="A49" s="556"/>
      <c r="B49" s="556"/>
      <c r="C49" s="556"/>
      <c r="D49" s="558"/>
      <c r="F49" s="556"/>
    </row>
    <row r="50" spans="1:6">
      <c r="A50" s="556"/>
      <c r="B50" s="556"/>
      <c r="C50" s="556"/>
      <c r="D50" s="558"/>
      <c r="F50" s="556"/>
    </row>
    <row r="51" spans="1:6">
      <c r="A51" s="556"/>
      <c r="B51" s="556"/>
      <c r="C51" s="556"/>
      <c r="D51" s="558"/>
      <c r="F51" s="556"/>
    </row>
    <row r="52" spans="1:6">
      <c r="A52" s="556"/>
      <c r="B52" s="556"/>
      <c r="C52" s="556"/>
      <c r="D52" s="558"/>
      <c r="F52" s="556"/>
    </row>
    <row r="53" spans="1:6">
      <c r="A53" s="556"/>
      <c r="B53" s="556"/>
      <c r="C53" s="556"/>
      <c r="D53" s="558"/>
      <c r="F53" s="556"/>
    </row>
    <row r="54" spans="1:6">
      <c r="A54" s="556"/>
      <c r="B54" s="556"/>
      <c r="C54" s="556"/>
      <c r="D54" s="558"/>
      <c r="F54" s="556"/>
    </row>
    <row r="55" spans="1:6">
      <c r="A55" s="556"/>
      <c r="B55" s="556"/>
      <c r="C55" s="556"/>
      <c r="D55" s="558"/>
      <c r="F55" s="556"/>
    </row>
    <row r="58" spans="1:6">
      <c r="A58" s="556"/>
      <c r="D58" s="558"/>
    </row>
    <row r="59" spans="1:6">
      <c r="A59" s="556"/>
      <c r="D59" s="558"/>
    </row>
    <row r="61" spans="1:6">
      <c r="A61" s="556"/>
    </row>
  </sheetData>
  <printOptions gridLinesSet="0"/>
  <pageMargins left="0.78740157480314965" right="0" top="0.51181102362204722" bottom="0.51181102362204722" header="0.51181102362204722" footer="0.51181102362204722"/>
  <pageSetup paperSize="9" scale="68" orientation="portrait" horizontalDpi="300" verticalDpi="300" r:id="rId1"/>
  <headerFooter alignWithMargins="0">
    <oddFooter>&amp;C&amp;"Times New Roman,Regular"&amp;8&amp;P of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90"/>
  <sheetViews>
    <sheetView showGridLines="0" topLeftCell="A10" zoomScaleNormal="100" workbookViewId="0"/>
  </sheetViews>
  <sheetFormatPr defaultColWidth="12.59765625" defaultRowHeight="14.5"/>
  <cols>
    <col min="1" max="1" width="4.8984375" style="564" customWidth="1"/>
    <col min="2" max="2" width="40.59765625" style="564" customWidth="1"/>
    <col min="3" max="3" width="11.8984375" style="564" customWidth="1"/>
    <col min="4" max="4" width="10" style="564" customWidth="1"/>
    <col min="5" max="5" width="2.296875" style="564" customWidth="1"/>
    <col min="6" max="6" width="29.3984375" style="564" customWidth="1"/>
    <col min="7" max="16384" width="12.59765625" style="564"/>
  </cols>
  <sheetData>
    <row r="1" spans="1:6">
      <c r="A1" s="469" t="s">
        <v>9176</v>
      </c>
      <c r="B1" s="562"/>
      <c r="C1" s="562"/>
      <c r="D1" s="563">
        <v>2016</v>
      </c>
      <c r="E1" s="562"/>
    </row>
    <row r="2" spans="1:6">
      <c r="A2" s="562"/>
      <c r="B2" s="562"/>
      <c r="C2" s="562"/>
      <c r="D2" s="562"/>
      <c r="E2" s="562"/>
      <c r="F2" s="562"/>
    </row>
    <row r="3" spans="1:6">
      <c r="A3" s="469" t="s">
        <v>10075</v>
      </c>
      <c r="B3" s="562"/>
      <c r="C3" s="562"/>
      <c r="D3" s="565">
        <f t="shared" ref="D3" si="0">SUM(D30:D50)</f>
        <v>188189</v>
      </c>
      <c r="E3" s="562"/>
    </row>
    <row r="4" spans="1:6">
      <c r="A4" s="562"/>
      <c r="B4" s="562"/>
      <c r="C4" s="562"/>
      <c r="D4" s="562"/>
      <c r="E4" s="562"/>
      <c r="F4" s="562"/>
    </row>
    <row r="5" spans="1:6">
      <c r="A5" s="469" t="s">
        <v>10076</v>
      </c>
      <c r="B5" s="562"/>
      <c r="C5" s="562"/>
      <c r="D5" s="566">
        <f>D47</f>
        <v>8078</v>
      </c>
      <c r="E5" s="562"/>
      <c r="F5" s="469" t="s">
        <v>9502</v>
      </c>
    </row>
    <row r="6" spans="1:6" ht="15" thickBot="1">
      <c r="A6" s="562"/>
      <c r="B6" s="562"/>
      <c r="C6" s="562"/>
      <c r="D6" s="567">
        <f>WANDSWORTH!D6</f>
        <v>69924</v>
      </c>
      <c r="E6" s="562"/>
      <c r="F6" s="562" t="s">
        <v>10077</v>
      </c>
    </row>
    <row r="7" spans="1:6" ht="15" thickBot="1">
      <c r="A7" s="562"/>
      <c r="B7" s="562"/>
      <c r="C7" s="562"/>
      <c r="D7" s="568">
        <f>D5+D6</f>
        <v>78002</v>
      </c>
      <c r="E7" s="562"/>
      <c r="F7" s="562"/>
    </row>
    <row r="8" spans="1:6">
      <c r="A8" s="562"/>
      <c r="B8" s="562"/>
      <c r="C8" s="562"/>
      <c r="D8" s="562"/>
      <c r="E8" s="562"/>
      <c r="F8" s="562"/>
    </row>
    <row r="9" spans="1:6">
      <c r="A9" s="569" t="s">
        <v>10078</v>
      </c>
      <c r="B9" s="562"/>
      <c r="C9" s="562"/>
      <c r="D9" s="566">
        <f>D30</f>
        <v>6094</v>
      </c>
      <c r="E9" s="562"/>
      <c r="F9" s="469" t="s">
        <v>9502</v>
      </c>
    </row>
    <row r="10" spans="1:6" ht="15" thickBot="1">
      <c r="A10" s="562"/>
      <c r="B10" s="562"/>
      <c r="C10" s="562"/>
      <c r="D10" s="567">
        <f>SOUTHWARK!D6</f>
        <v>70741</v>
      </c>
      <c r="E10" s="562"/>
      <c r="F10" s="469" t="s">
        <v>10079</v>
      </c>
    </row>
    <row r="11" spans="1:6" ht="15" thickBot="1">
      <c r="A11" s="562"/>
      <c r="B11" s="562"/>
      <c r="C11" s="562"/>
      <c r="D11" s="568">
        <f>D9+D10</f>
        <v>76835</v>
      </c>
      <c r="E11" s="562"/>
      <c r="F11" s="562"/>
    </row>
    <row r="12" spans="1:6">
      <c r="A12" s="562"/>
      <c r="B12" s="562"/>
      <c r="C12" s="562"/>
      <c r="D12" s="570"/>
      <c r="E12" s="562"/>
      <c r="F12" s="562"/>
    </row>
    <row r="13" spans="1:6">
      <c r="A13" s="569" t="s">
        <v>10080</v>
      </c>
      <c r="B13" s="562"/>
      <c r="C13" s="562"/>
      <c r="D13" s="570">
        <f>D41+D50</f>
        <v>19252</v>
      </c>
      <c r="E13" s="562"/>
      <c r="F13" s="469" t="s">
        <v>9502</v>
      </c>
    </row>
    <row r="14" spans="1:6" ht="15" thickBot="1">
      <c r="A14" s="562"/>
      <c r="B14" s="562"/>
      <c r="C14" s="562"/>
      <c r="D14" s="570">
        <f>SOUTHWARK!D10</f>
        <v>52055</v>
      </c>
      <c r="E14" s="562"/>
      <c r="F14" s="469" t="s">
        <v>10079</v>
      </c>
    </row>
    <row r="15" spans="1:6" ht="15" thickBot="1">
      <c r="A15" s="562"/>
      <c r="B15" s="562"/>
      <c r="C15" s="562"/>
      <c r="D15" s="568">
        <f>D13+D14</f>
        <v>71307</v>
      </c>
      <c r="E15" s="562"/>
      <c r="F15" s="562"/>
    </row>
    <row r="16" spans="1:6">
      <c r="A16" s="562"/>
      <c r="B16" s="562"/>
      <c r="C16" s="562"/>
      <c r="D16" s="570"/>
      <c r="E16" s="562"/>
      <c r="F16" s="562"/>
    </row>
    <row r="17" spans="1:11">
      <c r="A17" s="562" t="s">
        <v>10081</v>
      </c>
      <c r="B17" s="562"/>
      <c r="C17" s="562"/>
      <c r="D17" s="570">
        <f>SUM(D31:D35)+D39+D40+D43</f>
        <v>74034</v>
      </c>
      <c r="E17" s="562"/>
      <c r="F17" s="469" t="s">
        <v>9502</v>
      </c>
    </row>
    <row r="18" spans="1:11">
      <c r="A18" s="562"/>
      <c r="B18" s="562"/>
      <c r="C18" s="562"/>
      <c r="D18" s="562"/>
      <c r="E18" s="562"/>
      <c r="F18" s="562"/>
    </row>
    <row r="19" spans="1:11">
      <c r="A19" s="469" t="s">
        <v>10082</v>
      </c>
      <c r="D19" s="565">
        <f>D36+D37+D48+D49</f>
        <v>37337</v>
      </c>
      <c r="E19" s="562"/>
      <c r="F19" s="469" t="s">
        <v>9502</v>
      </c>
    </row>
    <row r="20" spans="1:11" ht="15" thickBot="1">
      <c r="A20" s="562"/>
      <c r="D20" s="571">
        <f>SOUTHWARK!D14</f>
        <v>34502</v>
      </c>
      <c r="E20" s="562"/>
      <c r="F20" s="469" t="s">
        <v>10079</v>
      </c>
    </row>
    <row r="21" spans="1:11" ht="15" thickBot="1">
      <c r="A21" s="562"/>
      <c r="D21" s="571">
        <f t="shared" ref="D21" si="1">D19+D20</f>
        <v>71839</v>
      </c>
      <c r="E21" s="562"/>
      <c r="F21" s="562"/>
    </row>
    <row r="22" spans="1:11">
      <c r="A22" s="562"/>
      <c r="D22" s="566"/>
      <c r="E22" s="562"/>
      <c r="F22" s="562"/>
    </row>
    <row r="23" spans="1:11">
      <c r="A23" s="469" t="s">
        <v>9501</v>
      </c>
      <c r="D23" s="572">
        <f>CROYDON!D17</f>
        <v>9766</v>
      </c>
      <c r="F23" s="564" t="s">
        <v>9360</v>
      </c>
    </row>
    <row r="24" spans="1:11">
      <c r="A24" s="469"/>
      <c r="D24" s="565">
        <f>D38+D42+SUM(D44:D46)</f>
        <v>43394</v>
      </c>
      <c r="E24" s="562"/>
      <c r="F24" s="469" t="s">
        <v>9502</v>
      </c>
    </row>
    <row r="25" spans="1:11" ht="15" thickBot="1">
      <c r="A25" s="469"/>
      <c r="D25" s="571">
        <f>MERTON!D9</f>
        <v>20765</v>
      </c>
      <c r="E25" s="562"/>
      <c r="F25" s="469" t="s">
        <v>9503</v>
      </c>
    </row>
    <row r="26" spans="1:11" ht="15" thickBot="1">
      <c r="A26" s="469"/>
      <c r="D26" s="573">
        <f>SUM(D23:D25)</f>
        <v>73925</v>
      </c>
      <c r="E26" s="562"/>
      <c r="F26" s="469"/>
    </row>
    <row r="27" spans="1:11">
      <c r="A27" s="562"/>
      <c r="D27" s="566"/>
      <c r="E27" s="562"/>
      <c r="F27" s="562"/>
    </row>
    <row r="28" spans="1:11">
      <c r="A28" s="469" t="s">
        <v>1041</v>
      </c>
      <c r="B28" s="562"/>
      <c r="C28" s="562"/>
      <c r="D28" s="565">
        <f>D5+D9+D13+D17+D19+D24</f>
        <v>188189</v>
      </c>
      <c r="E28" s="562"/>
      <c r="F28" s="562"/>
    </row>
    <row r="29" spans="1:11">
      <c r="A29" s="562"/>
      <c r="B29" s="562"/>
      <c r="C29" s="562"/>
      <c r="D29" s="566"/>
      <c r="E29" s="562"/>
      <c r="F29" s="562"/>
    </row>
    <row r="30" spans="1:11">
      <c r="A30" s="469" t="s">
        <v>812</v>
      </c>
      <c r="B30" s="469" t="s">
        <v>10083</v>
      </c>
      <c r="C30" s="292" t="s">
        <v>10084</v>
      </c>
      <c r="D30" s="293">
        <v>6094</v>
      </c>
      <c r="E30" s="562"/>
      <c r="F30" s="569" t="s">
        <v>10078</v>
      </c>
      <c r="I30" s="292"/>
      <c r="K30" s="292"/>
    </row>
    <row r="31" spans="1:11">
      <c r="A31" s="469" t="s">
        <v>813</v>
      </c>
      <c r="B31" s="469" t="s">
        <v>10085</v>
      </c>
      <c r="C31" s="292" t="s">
        <v>10086</v>
      </c>
      <c r="D31" s="293">
        <v>9625</v>
      </c>
      <c r="E31" s="562"/>
      <c r="F31" s="562" t="s">
        <v>10081</v>
      </c>
      <c r="I31" s="292"/>
      <c r="K31" s="292"/>
    </row>
    <row r="32" spans="1:11">
      <c r="A32" s="469" t="s">
        <v>814</v>
      </c>
      <c r="B32" s="469" t="s">
        <v>10087</v>
      </c>
      <c r="C32" s="292" t="s">
        <v>10088</v>
      </c>
      <c r="D32" s="293">
        <v>8296</v>
      </c>
      <c r="E32" s="562"/>
      <c r="F32" s="562" t="s">
        <v>10081</v>
      </c>
      <c r="I32" s="292"/>
      <c r="K32" s="292"/>
    </row>
    <row r="33" spans="1:11">
      <c r="A33" s="469" t="s">
        <v>815</v>
      </c>
      <c r="B33" s="469" t="s">
        <v>10089</v>
      </c>
      <c r="C33" s="292" t="s">
        <v>10090</v>
      </c>
      <c r="D33" s="293">
        <v>9187</v>
      </c>
      <c r="E33" s="562"/>
      <c r="F33" s="562" t="s">
        <v>10081</v>
      </c>
      <c r="I33" s="292"/>
      <c r="K33" s="292"/>
    </row>
    <row r="34" spans="1:11">
      <c r="A34" s="469" t="s">
        <v>816</v>
      </c>
      <c r="B34" s="469" t="s">
        <v>10091</v>
      </c>
      <c r="C34" s="292" t="s">
        <v>10092</v>
      </c>
      <c r="D34" s="293">
        <v>10101</v>
      </c>
      <c r="E34" s="562"/>
      <c r="F34" s="562" t="s">
        <v>10081</v>
      </c>
      <c r="I34" s="292"/>
      <c r="K34" s="292"/>
    </row>
    <row r="35" spans="1:11">
      <c r="A35" s="469" t="s">
        <v>826</v>
      </c>
      <c r="B35" s="469" t="s">
        <v>10093</v>
      </c>
      <c r="C35" s="292" t="s">
        <v>10094</v>
      </c>
      <c r="D35" s="295">
        <v>9382</v>
      </c>
      <c r="E35" s="562"/>
      <c r="F35" s="562" t="s">
        <v>10081</v>
      </c>
      <c r="I35" s="292"/>
      <c r="K35" s="292"/>
    </row>
    <row r="36" spans="1:11">
      <c r="A36" s="469" t="s">
        <v>827</v>
      </c>
      <c r="B36" s="469" t="s">
        <v>10095</v>
      </c>
      <c r="C36" s="292" t="s">
        <v>10096</v>
      </c>
      <c r="D36" s="293">
        <v>9064</v>
      </c>
      <c r="E36" s="562"/>
      <c r="F36" s="469" t="s">
        <v>10082</v>
      </c>
      <c r="I36" s="292"/>
      <c r="K36" s="292"/>
    </row>
    <row r="37" spans="1:11">
      <c r="A37" s="469" t="s">
        <v>828</v>
      </c>
      <c r="B37" s="469" t="s">
        <v>10097</v>
      </c>
      <c r="C37" s="292" t="s">
        <v>10098</v>
      </c>
      <c r="D37" s="293">
        <v>9975</v>
      </c>
      <c r="E37" s="562"/>
      <c r="F37" s="469" t="s">
        <v>10082</v>
      </c>
      <c r="I37" s="292"/>
      <c r="K37" s="292"/>
    </row>
    <row r="38" spans="1:11">
      <c r="A38" s="469" t="s">
        <v>829</v>
      </c>
      <c r="B38" s="469" t="s">
        <v>10099</v>
      </c>
      <c r="C38" s="292" t="s">
        <v>10100</v>
      </c>
      <c r="D38" s="293">
        <v>8629</v>
      </c>
      <c r="E38" s="562"/>
      <c r="F38" s="469" t="s">
        <v>9501</v>
      </c>
      <c r="I38" s="292"/>
      <c r="K38" s="292"/>
    </row>
    <row r="39" spans="1:11">
      <c r="A39" s="469" t="s">
        <v>830</v>
      </c>
      <c r="B39" s="469" t="s">
        <v>10101</v>
      </c>
      <c r="C39" s="292" t="s">
        <v>10102</v>
      </c>
      <c r="D39" s="295">
        <v>10139</v>
      </c>
      <c r="E39" s="562"/>
      <c r="F39" s="562" t="s">
        <v>10081</v>
      </c>
      <c r="I39" s="292"/>
      <c r="K39" s="292"/>
    </row>
    <row r="40" spans="1:11">
      <c r="A40" s="469" t="s">
        <v>831</v>
      </c>
      <c r="B40" s="469" t="s">
        <v>10103</v>
      </c>
      <c r="C40" s="292" t="s">
        <v>10104</v>
      </c>
      <c r="D40" s="295">
        <v>8870</v>
      </c>
      <c r="E40" s="562"/>
      <c r="F40" s="562" t="s">
        <v>10081</v>
      </c>
      <c r="I40" s="292"/>
      <c r="K40" s="292"/>
    </row>
    <row r="41" spans="1:11">
      <c r="A41" s="469" t="s">
        <v>832</v>
      </c>
      <c r="B41" s="469" t="s">
        <v>10105</v>
      </c>
      <c r="C41" s="292" t="s">
        <v>10106</v>
      </c>
      <c r="D41" s="295">
        <v>9813</v>
      </c>
      <c r="E41" s="562"/>
      <c r="F41" s="569" t="s">
        <v>10080</v>
      </c>
      <c r="I41" s="292"/>
      <c r="K41" s="292"/>
    </row>
    <row r="42" spans="1:11">
      <c r="A42" s="469" t="s">
        <v>833</v>
      </c>
      <c r="B42" s="469" t="s">
        <v>662</v>
      </c>
      <c r="C42" s="292" t="s">
        <v>10107</v>
      </c>
      <c r="D42" s="293">
        <v>8684</v>
      </c>
      <c r="E42" s="562"/>
      <c r="F42" s="469" t="s">
        <v>9501</v>
      </c>
      <c r="I42" s="292"/>
      <c r="K42" s="292"/>
    </row>
    <row r="43" spans="1:11">
      <c r="A43" s="469" t="s">
        <v>834</v>
      </c>
      <c r="B43" s="469" t="s">
        <v>10108</v>
      </c>
      <c r="C43" s="292" t="s">
        <v>10109</v>
      </c>
      <c r="D43" s="295">
        <v>8434</v>
      </c>
      <c r="E43" s="562"/>
      <c r="F43" s="562" t="s">
        <v>10081</v>
      </c>
      <c r="I43" s="292"/>
      <c r="K43" s="292"/>
    </row>
    <row r="44" spans="1:11">
      <c r="A44" s="469" t="s">
        <v>835</v>
      </c>
      <c r="B44" s="469" t="s">
        <v>10110</v>
      </c>
      <c r="C44" s="292" t="s">
        <v>10111</v>
      </c>
      <c r="D44" s="293">
        <v>9010</v>
      </c>
      <c r="E44" s="562"/>
      <c r="F44" s="469" t="s">
        <v>9501</v>
      </c>
      <c r="I44" s="292"/>
      <c r="K44" s="292"/>
    </row>
    <row r="45" spans="1:11">
      <c r="A45" s="469" t="s">
        <v>836</v>
      </c>
      <c r="B45" s="469" t="s">
        <v>10112</v>
      </c>
      <c r="C45" s="292" t="s">
        <v>10113</v>
      </c>
      <c r="D45" s="293">
        <v>8241</v>
      </c>
      <c r="E45" s="562"/>
      <c r="F45" s="469" t="s">
        <v>9501</v>
      </c>
      <c r="I45" s="292"/>
      <c r="K45" s="292"/>
    </row>
    <row r="46" spans="1:11">
      <c r="A46" s="469" t="s">
        <v>837</v>
      </c>
      <c r="B46" s="469" t="s">
        <v>10114</v>
      </c>
      <c r="C46" s="292" t="s">
        <v>10115</v>
      </c>
      <c r="D46" s="293">
        <v>8830</v>
      </c>
      <c r="E46" s="562"/>
      <c r="F46" s="469" t="s">
        <v>9501</v>
      </c>
      <c r="I46" s="292"/>
      <c r="K46" s="292"/>
    </row>
    <row r="47" spans="1:11">
      <c r="A47" s="469" t="s">
        <v>838</v>
      </c>
      <c r="B47" s="469" t="s">
        <v>10116</v>
      </c>
      <c r="C47" s="292" t="s">
        <v>10117</v>
      </c>
      <c r="D47" s="293">
        <v>8078</v>
      </c>
      <c r="E47" s="562"/>
      <c r="F47" s="469" t="s">
        <v>10076</v>
      </c>
      <c r="I47" s="292"/>
      <c r="K47" s="292"/>
    </row>
    <row r="48" spans="1:11">
      <c r="A48" s="469" t="s">
        <v>840</v>
      </c>
      <c r="B48" s="469" t="s">
        <v>10118</v>
      </c>
      <c r="C48" s="292" t="s">
        <v>10119</v>
      </c>
      <c r="D48" s="293">
        <v>8776</v>
      </c>
      <c r="E48" s="562"/>
      <c r="F48" s="469" t="s">
        <v>10082</v>
      </c>
      <c r="I48" s="292"/>
      <c r="K48" s="292"/>
    </row>
    <row r="49" spans="1:11">
      <c r="A49" s="469" t="s">
        <v>841</v>
      </c>
      <c r="B49" s="469" t="s">
        <v>10120</v>
      </c>
      <c r="C49" s="292" t="s">
        <v>10121</v>
      </c>
      <c r="D49" s="293">
        <v>9522</v>
      </c>
      <c r="E49" s="562"/>
      <c r="F49" s="469" t="s">
        <v>10082</v>
      </c>
      <c r="I49" s="292"/>
      <c r="K49" s="292"/>
    </row>
    <row r="50" spans="1:11">
      <c r="A50" s="469" t="s">
        <v>878</v>
      </c>
      <c r="B50" s="469" t="s">
        <v>10122</v>
      </c>
      <c r="C50" s="292" t="s">
        <v>10123</v>
      </c>
      <c r="D50" s="295">
        <v>9439</v>
      </c>
      <c r="E50" s="562"/>
      <c r="F50" s="569" t="s">
        <v>10080</v>
      </c>
      <c r="I50" s="292"/>
      <c r="K50" s="292"/>
    </row>
    <row r="51" spans="1:11">
      <c r="A51" s="562"/>
      <c r="B51" s="562"/>
      <c r="C51" s="562"/>
      <c r="D51" s="562"/>
      <c r="E51" s="562"/>
      <c r="F51" s="562"/>
    </row>
    <row r="52" spans="1:11">
      <c r="A52" s="562" t="s">
        <v>10124</v>
      </c>
      <c r="B52" s="562"/>
      <c r="C52" s="562"/>
      <c r="D52" s="562"/>
      <c r="E52" s="562"/>
      <c r="F52" s="562"/>
    </row>
    <row r="53" spans="1:11">
      <c r="A53" s="562"/>
      <c r="B53" s="562"/>
      <c r="C53" s="562"/>
      <c r="D53" s="562"/>
      <c r="E53" s="562"/>
      <c r="F53" s="562"/>
    </row>
    <row r="54" spans="1:11">
      <c r="A54" s="574"/>
      <c r="D54" s="575"/>
    </row>
    <row r="55" spans="1:11">
      <c r="A55" s="574"/>
      <c r="D55" s="575"/>
    </row>
    <row r="56" spans="1:11">
      <c r="A56" s="574"/>
      <c r="D56" s="575"/>
    </row>
    <row r="59" spans="1:11">
      <c r="A59" s="574"/>
      <c r="D59" s="575"/>
    </row>
    <row r="61" spans="1:11">
      <c r="A61" s="574"/>
      <c r="B61" s="574"/>
      <c r="C61" s="574"/>
      <c r="D61" s="575"/>
      <c r="F61" s="574"/>
    </row>
    <row r="62" spans="1:11">
      <c r="A62" s="574"/>
      <c r="B62" s="574"/>
      <c r="C62" s="574"/>
      <c r="D62" s="575"/>
      <c r="F62" s="574"/>
    </row>
    <row r="63" spans="1:11">
      <c r="A63" s="574"/>
      <c r="B63" s="574"/>
      <c r="C63" s="574"/>
      <c r="D63" s="575"/>
      <c r="F63" s="574"/>
    </row>
    <row r="64" spans="1:11">
      <c r="A64" s="574"/>
      <c r="B64" s="574"/>
      <c r="C64" s="574"/>
      <c r="D64" s="575"/>
      <c r="F64" s="574"/>
    </row>
    <row r="65" spans="1:6">
      <c r="A65" s="574"/>
      <c r="B65" s="574"/>
      <c r="C65" s="574"/>
      <c r="D65" s="575"/>
      <c r="F65" s="574"/>
    </row>
    <row r="66" spans="1:6">
      <c r="A66" s="574"/>
      <c r="B66" s="574"/>
      <c r="C66" s="574"/>
      <c r="D66" s="575"/>
      <c r="F66" s="574"/>
    </row>
    <row r="67" spans="1:6">
      <c r="A67" s="574"/>
      <c r="B67" s="574"/>
      <c r="C67" s="574"/>
      <c r="D67" s="575"/>
      <c r="F67" s="574"/>
    </row>
    <row r="68" spans="1:6">
      <c r="A68" s="574"/>
      <c r="B68" s="574"/>
      <c r="C68" s="574"/>
      <c r="D68" s="575"/>
      <c r="F68" s="574"/>
    </row>
    <row r="69" spans="1:6">
      <c r="A69" s="574"/>
      <c r="B69" s="574"/>
      <c r="C69" s="574"/>
      <c r="D69" s="575"/>
      <c r="F69" s="574"/>
    </row>
    <row r="70" spans="1:6">
      <c r="A70" s="574"/>
      <c r="B70" s="574"/>
      <c r="C70" s="574"/>
      <c r="D70" s="575"/>
      <c r="F70" s="574"/>
    </row>
    <row r="71" spans="1:6">
      <c r="A71" s="574"/>
      <c r="B71" s="574"/>
      <c r="C71" s="574"/>
      <c r="D71" s="575"/>
      <c r="F71" s="574"/>
    </row>
    <row r="72" spans="1:6">
      <c r="A72" s="574"/>
      <c r="B72" s="574"/>
      <c r="C72" s="574"/>
      <c r="D72" s="575"/>
      <c r="F72" s="574"/>
    </row>
    <row r="73" spans="1:6">
      <c r="A73" s="574"/>
      <c r="B73" s="574"/>
      <c r="C73" s="574"/>
      <c r="D73" s="575"/>
      <c r="F73" s="574"/>
    </row>
    <row r="74" spans="1:6">
      <c r="A74" s="574"/>
      <c r="B74" s="574"/>
      <c r="C74" s="574"/>
      <c r="D74" s="575"/>
      <c r="F74" s="574"/>
    </row>
    <row r="75" spans="1:6">
      <c r="A75" s="574"/>
      <c r="B75" s="574"/>
      <c r="C75" s="574"/>
      <c r="D75" s="575"/>
      <c r="F75" s="574"/>
    </row>
    <row r="76" spans="1:6">
      <c r="A76" s="574"/>
      <c r="B76" s="574"/>
      <c r="C76" s="574"/>
      <c r="D76" s="575"/>
      <c r="F76" s="574"/>
    </row>
    <row r="77" spans="1:6">
      <c r="A77" s="574"/>
      <c r="B77" s="574"/>
      <c r="C77" s="574"/>
      <c r="D77" s="575"/>
      <c r="F77" s="574"/>
    </row>
    <row r="78" spans="1:6">
      <c r="A78" s="574"/>
      <c r="B78" s="574"/>
      <c r="C78" s="574"/>
      <c r="D78" s="575"/>
      <c r="F78" s="574"/>
    </row>
    <row r="79" spans="1:6">
      <c r="A79" s="574"/>
      <c r="B79" s="574"/>
      <c r="C79" s="574"/>
      <c r="D79" s="575"/>
      <c r="F79" s="574"/>
    </row>
    <row r="80" spans="1:6">
      <c r="A80" s="574"/>
      <c r="B80" s="574"/>
      <c r="C80" s="574"/>
      <c r="D80" s="575"/>
      <c r="F80" s="574"/>
    </row>
    <row r="81" spans="1:6">
      <c r="A81" s="574"/>
      <c r="B81" s="574"/>
      <c r="C81" s="574"/>
      <c r="D81" s="575"/>
      <c r="F81" s="574"/>
    </row>
    <row r="82" spans="1:6">
      <c r="A82" s="574"/>
      <c r="B82" s="574"/>
      <c r="C82" s="574"/>
      <c r="D82" s="575"/>
      <c r="F82" s="574"/>
    </row>
    <row r="83" spans="1:6">
      <c r="A83" s="574"/>
      <c r="B83" s="574"/>
      <c r="C83" s="574"/>
      <c r="D83" s="575"/>
      <c r="F83" s="574"/>
    </row>
    <row r="84" spans="1:6">
      <c r="A84" s="574"/>
      <c r="B84" s="574"/>
      <c r="C84" s="574"/>
      <c r="D84" s="575"/>
      <c r="F84" s="574"/>
    </row>
    <row r="85" spans="1:6">
      <c r="A85" s="574"/>
      <c r="B85" s="574"/>
      <c r="C85" s="574"/>
      <c r="D85" s="575"/>
      <c r="F85" s="574"/>
    </row>
    <row r="88" spans="1:6">
      <c r="A88" s="574"/>
      <c r="D88" s="575"/>
    </row>
    <row r="89" spans="1:6">
      <c r="A89" s="574"/>
      <c r="D89" s="575"/>
    </row>
    <row r="90" spans="1:6">
      <c r="A90" s="574"/>
      <c r="D90" s="575"/>
    </row>
  </sheetData>
  <printOptions gridLinesSet="0"/>
  <pageMargins left="0.78740157480314965" right="0" top="0.51181102362204722" bottom="0.51181102362204722" header="0.51181102362204722" footer="0.51181102362204722"/>
  <pageSetup paperSize="9" scale="75" orientation="portrait" horizontalDpi="300" verticalDpi="300" r:id="rId1"/>
  <headerFooter alignWithMargins="0">
    <oddFooter>&amp;C&amp;"Times New Roman,Regular"&amp;8&amp;P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46"/>
  <sheetViews>
    <sheetView showGridLines="0" zoomScaleNormal="100" workbookViewId="0"/>
  </sheetViews>
  <sheetFormatPr defaultColWidth="12.59765625" defaultRowHeight="14.5"/>
  <cols>
    <col min="1" max="1" width="4.8984375" style="365" customWidth="1"/>
    <col min="2" max="2" width="46" style="365" customWidth="1"/>
    <col min="3" max="3" width="11.59765625" style="365" customWidth="1"/>
    <col min="4" max="4" width="10.09765625" style="365" customWidth="1"/>
    <col min="5" max="5" width="2.296875" style="365" customWidth="1"/>
    <col min="6" max="6" width="35.69921875" style="365" customWidth="1"/>
    <col min="7" max="16384" width="12.59765625" style="365"/>
  </cols>
  <sheetData>
    <row r="1" spans="1:6">
      <c r="A1" s="225" t="s">
        <v>1075</v>
      </c>
      <c r="B1" s="723"/>
      <c r="C1" s="723"/>
      <c r="D1" s="724">
        <v>2016</v>
      </c>
      <c r="E1" s="723"/>
    </row>
    <row r="2" spans="1:6">
      <c r="A2" s="723"/>
      <c r="B2" s="723"/>
      <c r="C2" s="723"/>
      <c r="D2" s="723"/>
      <c r="E2" s="723"/>
      <c r="F2" s="723"/>
    </row>
    <row r="3" spans="1:6">
      <c r="A3" s="725" t="s">
        <v>12818</v>
      </c>
      <c r="C3" s="725"/>
      <c r="D3" s="726">
        <f t="shared" ref="D3" si="0">SUM(D8:D19)</f>
        <v>857159</v>
      </c>
      <c r="E3" s="723"/>
    </row>
    <row r="4" spans="1:6">
      <c r="A4" s="725" t="s">
        <v>12819</v>
      </c>
      <c r="C4" s="725"/>
      <c r="D4" s="726">
        <f t="shared" ref="D4" si="1">D84</f>
        <v>96731</v>
      </c>
      <c r="E4" s="723"/>
    </row>
    <row r="5" spans="1:6" ht="15" thickBot="1">
      <c r="A5" s="725" t="s">
        <v>12820</v>
      </c>
      <c r="C5" s="725"/>
      <c r="D5" s="727">
        <f t="shared" ref="D5" si="2">D117</f>
        <v>97419</v>
      </c>
      <c r="E5" s="728"/>
    </row>
    <row r="6" spans="1:6" ht="15" thickBot="1">
      <c r="A6" s="723"/>
      <c r="C6" s="723"/>
      <c r="D6" s="729">
        <f t="shared" ref="D6" si="3">SUM(D3:D5)</f>
        <v>1051309</v>
      </c>
      <c r="E6" s="723"/>
    </row>
    <row r="7" spans="1:6">
      <c r="A7" s="42"/>
      <c r="C7" s="42"/>
      <c r="D7" s="47"/>
      <c r="E7" s="42"/>
      <c r="F7" s="42"/>
    </row>
    <row r="8" spans="1:6">
      <c r="A8" s="725" t="s">
        <v>12821</v>
      </c>
      <c r="C8" s="725"/>
      <c r="D8" s="726">
        <f t="shared" ref="D8" si="4">D148</f>
        <v>63228</v>
      </c>
      <c r="E8" s="723"/>
      <c r="F8" s="730"/>
    </row>
    <row r="9" spans="1:6">
      <c r="A9" s="725" t="s">
        <v>12822</v>
      </c>
      <c r="C9" s="725"/>
      <c r="D9" s="726">
        <f t="shared" ref="D9" si="5">D173</f>
        <v>81668</v>
      </c>
      <c r="E9" s="723"/>
      <c r="F9" s="730"/>
    </row>
    <row r="10" spans="1:6">
      <c r="A10" s="725" t="s">
        <v>12823</v>
      </c>
      <c r="C10" s="725"/>
      <c r="D10" s="726">
        <f t="shared" ref="D10" si="6">D204</f>
        <v>59381</v>
      </c>
      <c r="E10" s="723"/>
      <c r="F10" s="730"/>
    </row>
    <row r="11" spans="1:6">
      <c r="A11" s="725" t="s">
        <v>12824</v>
      </c>
      <c r="C11" s="725"/>
      <c r="D11" s="726">
        <f t="shared" ref="D11" si="7">D235</f>
        <v>59715</v>
      </c>
      <c r="E11" s="723"/>
      <c r="F11" s="730"/>
    </row>
    <row r="12" spans="1:6">
      <c r="A12" s="725" t="s">
        <v>12825</v>
      </c>
      <c r="C12" s="725"/>
      <c r="D12" s="726">
        <f t="shared" ref="D12" si="8">D260</f>
        <v>96357</v>
      </c>
      <c r="E12" s="723"/>
      <c r="F12" s="730"/>
    </row>
    <row r="13" spans="1:6">
      <c r="A13" s="725" t="s">
        <v>12826</v>
      </c>
      <c r="C13" s="725"/>
      <c r="D13" s="726">
        <f t="shared" ref="D13" si="9">D297</f>
        <v>62891</v>
      </c>
      <c r="E13" s="723"/>
      <c r="F13" s="730"/>
    </row>
    <row r="14" spans="1:6">
      <c r="A14" s="725" t="s">
        <v>12827</v>
      </c>
      <c r="C14" s="725"/>
      <c r="D14" s="726">
        <f t="shared" ref="D14" si="10">D328</f>
        <v>90766</v>
      </c>
      <c r="E14" s="723"/>
      <c r="F14" s="730"/>
    </row>
    <row r="15" spans="1:6">
      <c r="A15" s="725" t="s">
        <v>12828</v>
      </c>
      <c r="C15" s="725"/>
      <c r="D15" s="726">
        <f t="shared" ref="D15" si="11">D363</f>
        <v>45804</v>
      </c>
      <c r="E15" s="723"/>
      <c r="F15" s="730"/>
    </row>
    <row r="16" spans="1:6">
      <c r="A16" s="725" t="s">
        <v>12829</v>
      </c>
      <c r="C16" s="725"/>
      <c r="D16" s="726">
        <f t="shared" ref="D16" si="12">D397</f>
        <v>51076</v>
      </c>
      <c r="E16" s="723"/>
      <c r="F16" s="730"/>
    </row>
    <row r="17" spans="1:6">
      <c r="A17" s="725" t="s">
        <v>12830</v>
      </c>
      <c r="C17" s="725"/>
      <c r="D17" s="726">
        <f t="shared" ref="D17" si="13">D420</f>
        <v>81624</v>
      </c>
      <c r="E17" s="723"/>
      <c r="F17" s="730"/>
    </row>
    <row r="18" spans="1:6">
      <c r="A18" s="725" t="s">
        <v>12831</v>
      </c>
      <c r="C18" s="725"/>
      <c r="D18" s="726">
        <f t="shared" ref="D18" si="14">D453</f>
        <v>82644</v>
      </c>
      <c r="E18" s="723"/>
      <c r="F18" s="730"/>
    </row>
    <row r="19" spans="1:6">
      <c r="A19" s="725" t="s">
        <v>12832</v>
      </c>
      <c r="C19" s="725"/>
      <c r="D19" s="726">
        <f t="shared" ref="D19" si="15">D490</f>
        <v>82005</v>
      </c>
      <c r="E19" s="723"/>
      <c r="F19" s="730"/>
    </row>
    <row r="20" spans="1:6">
      <c r="A20" s="723"/>
      <c r="B20" s="723"/>
      <c r="C20" s="723"/>
      <c r="D20" s="723"/>
      <c r="E20" s="723"/>
      <c r="F20" s="723"/>
    </row>
    <row r="21" spans="1:6">
      <c r="A21" s="725" t="s">
        <v>12833</v>
      </c>
      <c r="B21" s="723"/>
      <c r="C21" s="723"/>
      <c r="D21" s="731">
        <f>D165</f>
        <v>12798</v>
      </c>
      <c r="E21" s="723"/>
      <c r="F21" s="725" t="s">
        <v>12834</v>
      </c>
    </row>
    <row r="22" spans="1:6" ht="15" thickBot="1">
      <c r="D22" s="727">
        <f>D253</f>
        <v>59715</v>
      </c>
      <c r="E22" s="723"/>
      <c r="F22" s="725" t="s">
        <v>11677</v>
      </c>
    </row>
    <row r="23" spans="1:6" ht="15" thickBot="1">
      <c r="A23" s="723"/>
      <c r="D23" s="727">
        <f>D21+D22</f>
        <v>72513</v>
      </c>
      <c r="E23" s="723"/>
      <c r="F23" s="723"/>
    </row>
    <row r="24" spans="1:6">
      <c r="A24" s="723"/>
      <c r="B24" s="723"/>
      <c r="C24" s="723"/>
      <c r="D24" s="723"/>
      <c r="E24" s="723"/>
      <c r="F24" s="723"/>
    </row>
    <row r="25" spans="1:6">
      <c r="A25" s="725" t="s">
        <v>12835</v>
      </c>
      <c r="D25" s="726">
        <f t="shared" ref="D25" si="16">D109</f>
        <v>72816</v>
      </c>
      <c r="E25" s="723"/>
      <c r="F25" s="725" t="s">
        <v>12836</v>
      </c>
    </row>
    <row r="26" spans="1:6">
      <c r="A26" s="723"/>
      <c r="D26" s="732"/>
      <c r="E26" s="723"/>
      <c r="F26" s="723"/>
    </row>
    <row r="27" spans="1:6">
      <c r="A27" s="725" t="s">
        <v>12837</v>
      </c>
      <c r="D27" s="726">
        <f t="shared" ref="D27" si="17">D140</f>
        <v>29010</v>
      </c>
      <c r="E27" s="723"/>
      <c r="F27" s="725" t="s">
        <v>12838</v>
      </c>
    </row>
    <row r="28" spans="1:6" ht="15" thickBot="1">
      <c r="A28" s="723"/>
      <c r="D28" s="727">
        <f t="shared" ref="D28" si="18">D516</f>
        <v>42677</v>
      </c>
      <c r="E28" s="723"/>
      <c r="F28" s="725" t="s">
        <v>12839</v>
      </c>
    </row>
    <row r="29" spans="1:6" ht="15" thickBot="1">
      <c r="A29" s="723"/>
      <c r="D29" s="727">
        <f>D27+D28</f>
        <v>71687</v>
      </c>
      <c r="E29" s="723"/>
      <c r="F29" s="723"/>
    </row>
    <row r="30" spans="1:6">
      <c r="A30" s="723"/>
      <c r="D30" s="732"/>
      <c r="E30" s="723"/>
      <c r="F30" s="723"/>
    </row>
    <row r="31" spans="1:6">
      <c r="A31" s="725" t="s">
        <v>12840</v>
      </c>
      <c r="D31" s="726">
        <f t="shared" ref="D31" si="19">D141</f>
        <v>68409</v>
      </c>
      <c r="E31" s="723"/>
      <c r="F31" s="725" t="s">
        <v>12838</v>
      </c>
    </row>
    <row r="32" spans="1:6" ht="15" thickBot="1">
      <c r="A32" s="725"/>
      <c r="D32" s="727">
        <f>D227</f>
        <v>6467</v>
      </c>
      <c r="E32" s="723"/>
      <c r="F32" s="725" t="s">
        <v>12841</v>
      </c>
    </row>
    <row r="33" spans="1:6" ht="15" thickBot="1">
      <c r="A33" s="725"/>
      <c r="D33" s="727">
        <f>D31+D32</f>
        <v>74876</v>
      </c>
      <c r="E33" s="723"/>
      <c r="F33" s="725"/>
    </row>
    <row r="34" spans="1:6">
      <c r="A34" s="723"/>
      <c r="D34" s="732"/>
      <c r="E34" s="723"/>
      <c r="F34" s="723"/>
    </row>
    <row r="35" spans="1:6">
      <c r="A35" s="725" t="s">
        <v>12842</v>
      </c>
      <c r="D35" s="726">
        <f t="shared" ref="D35" si="20">D166</f>
        <v>50430</v>
      </c>
      <c r="E35" s="723"/>
      <c r="F35" s="725" t="s">
        <v>12834</v>
      </c>
    </row>
    <row r="36" spans="1:6" ht="15" thickBot="1">
      <c r="A36" s="725"/>
      <c r="D36" s="727">
        <f>D319</f>
        <v>25703</v>
      </c>
      <c r="E36" s="723"/>
      <c r="F36" s="725" t="s">
        <v>12843</v>
      </c>
    </row>
    <row r="37" spans="1:6" ht="15" thickBot="1">
      <c r="A37" s="725"/>
      <c r="D37" s="727">
        <f>D35+D36</f>
        <v>76133</v>
      </c>
      <c r="E37" s="723"/>
      <c r="F37" s="725"/>
    </row>
    <row r="38" spans="1:6">
      <c r="A38" s="723"/>
      <c r="D38" s="732"/>
      <c r="E38" s="723"/>
      <c r="F38" s="723"/>
    </row>
    <row r="39" spans="1:6">
      <c r="A39" s="725" t="s">
        <v>12844</v>
      </c>
      <c r="D39" s="726">
        <f t="shared" ref="D39" si="21">D195</f>
        <v>73323</v>
      </c>
      <c r="E39" s="723"/>
      <c r="F39" s="725" t="s">
        <v>12845</v>
      </c>
    </row>
    <row r="40" spans="1:6">
      <c r="A40" s="723"/>
      <c r="D40" s="732"/>
      <c r="E40" s="723"/>
      <c r="F40" s="723"/>
    </row>
    <row r="41" spans="1:6">
      <c r="A41" s="725" t="s">
        <v>12846</v>
      </c>
      <c r="D41" s="726">
        <f>D320</f>
        <v>37188</v>
      </c>
      <c r="E41" s="723"/>
      <c r="F41" s="725" t="s">
        <v>12843</v>
      </c>
    </row>
    <row r="42" spans="1:6">
      <c r="A42" s="725"/>
      <c r="D42" s="726">
        <f>D389</f>
        <v>30097</v>
      </c>
      <c r="E42" s="723"/>
      <c r="F42" s="725" t="s">
        <v>12847</v>
      </c>
    </row>
    <row r="43" spans="1:6" ht="15" thickBot="1">
      <c r="A43" s="725"/>
      <c r="D43" s="727">
        <f>D445</f>
        <v>9687</v>
      </c>
      <c r="E43" s="723"/>
      <c r="F43" s="725" t="s">
        <v>12848</v>
      </c>
    </row>
    <row r="44" spans="1:6" ht="15" thickBot="1">
      <c r="A44" s="725"/>
      <c r="D44" s="727">
        <f t="shared" ref="D44" si="22">SUM(D41:D43)</f>
        <v>76972</v>
      </c>
      <c r="E44" s="723"/>
      <c r="F44" s="725"/>
    </row>
    <row r="45" spans="1:6">
      <c r="A45" s="725"/>
      <c r="D45" s="731"/>
      <c r="E45" s="723"/>
      <c r="F45" s="725"/>
    </row>
    <row r="46" spans="1:6">
      <c r="A46" s="725" t="s">
        <v>12849</v>
      </c>
      <c r="D46" s="726">
        <f t="shared" ref="D46" si="23">D228</f>
        <v>52914</v>
      </c>
      <c r="E46" s="723"/>
      <c r="F46" s="725" t="s">
        <v>12841</v>
      </c>
    </row>
    <row r="47" spans="1:6">
      <c r="A47" s="723"/>
      <c r="D47" s="731">
        <f t="shared" ref="D47" si="24">D352</f>
        <v>4562</v>
      </c>
      <c r="E47" s="723"/>
      <c r="F47" s="725" t="s">
        <v>12850</v>
      </c>
    </row>
    <row r="48" spans="1:6" ht="15" thickBot="1">
      <c r="A48" s="723"/>
      <c r="D48" s="727">
        <f>D517</f>
        <v>14627</v>
      </c>
      <c r="E48" s="723"/>
      <c r="F48" s="725" t="s">
        <v>12839</v>
      </c>
    </row>
    <row r="49" spans="1:6" ht="15" thickBot="1">
      <c r="A49" s="723"/>
      <c r="D49" s="727">
        <f>SUM(D46:D48)</f>
        <v>72103</v>
      </c>
      <c r="E49" s="723"/>
      <c r="F49" s="723"/>
    </row>
    <row r="50" spans="1:6">
      <c r="A50" s="723"/>
      <c r="D50" s="732"/>
      <c r="E50" s="723"/>
      <c r="F50" s="723"/>
    </row>
    <row r="51" spans="1:6">
      <c r="A51" s="725" t="s">
        <v>12851</v>
      </c>
      <c r="D51" s="726">
        <f t="shared" ref="D51" si="25">D289</f>
        <v>74361</v>
      </c>
      <c r="E51" s="723"/>
      <c r="F51" s="725" t="s">
        <v>12852</v>
      </c>
    </row>
    <row r="52" spans="1:6">
      <c r="A52" s="723"/>
      <c r="D52" s="732"/>
      <c r="E52" s="723"/>
      <c r="F52" s="723"/>
    </row>
    <row r="53" spans="1:6">
      <c r="A53" s="725" t="s">
        <v>12853</v>
      </c>
      <c r="D53" s="726">
        <f t="shared" ref="D53" si="26">D290</f>
        <v>21996</v>
      </c>
      <c r="E53" s="723"/>
      <c r="F53" s="725" t="s">
        <v>12852</v>
      </c>
    </row>
    <row r="54" spans="1:6">
      <c r="A54" s="725"/>
      <c r="D54" s="726">
        <f>D353</f>
        <v>8880</v>
      </c>
      <c r="E54" s="723"/>
      <c r="F54" s="725" t="s">
        <v>12850</v>
      </c>
    </row>
    <row r="55" spans="1:6">
      <c r="A55" s="725"/>
      <c r="D55" s="726">
        <f>D390</f>
        <v>15707</v>
      </c>
      <c r="E55" s="723"/>
      <c r="F55" s="725" t="s">
        <v>12847</v>
      </c>
    </row>
    <row r="56" spans="1:6" ht="15" thickBot="1">
      <c r="A56" s="725"/>
      <c r="D56" s="729">
        <f>D518</f>
        <v>24701</v>
      </c>
      <c r="E56" s="723"/>
      <c r="F56" s="725" t="s">
        <v>12839</v>
      </c>
    </row>
    <row r="57" spans="1:6" ht="15" thickBot="1">
      <c r="A57" s="725"/>
      <c r="D57" s="727">
        <f t="shared" ref="D57" si="27">SUM(D53:D56)</f>
        <v>71284</v>
      </c>
      <c r="E57" s="723"/>
      <c r="F57" s="725"/>
    </row>
    <row r="58" spans="1:6">
      <c r="A58" s="723"/>
      <c r="D58" s="732"/>
      <c r="E58" s="723"/>
      <c r="F58" s="723"/>
    </row>
    <row r="59" spans="1:6">
      <c r="A59" s="725" t="s">
        <v>12854</v>
      </c>
      <c r="D59" s="726">
        <f t="shared" ref="D59" si="28">D354</f>
        <v>77324</v>
      </c>
      <c r="E59" s="723"/>
      <c r="F59" s="725" t="s">
        <v>12850</v>
      </c>
    </row>
    <row r="60" spans="1:6">
      <c r="A60" s="723"/>
      <c r="D60" s="732"/>
      <c r="E60" s="723"/>
      <c r="F60" s="723"/>
    </row>
    <row r="61" spans="1:6">
      <c r="A61" s="725" t="s">
        <v>12855</v>
      </c>
      <c r="D61" s="726">
        <f t="shared" ref="D61" si="29">D110</f>
        <v>23915</v>
      </c>
      <c r="E61" s="723"/>
      <c r="F61" s="725" t="s">
        <v>12836</v>
      </c>
    </row>
    <row r="62" spans="1:6" ht="15" thickBot="1">
      <c r="A62" s="723"/>
      <c r="D62" s="727">
        <f t="shared" ref="D62" si="30">D413</f>
        <v>51076</v>
      </c>
      <c r="E62" s="723"/>
      <c r="F62" s="725" t="s">
        <v>11681</v>
      </c>
    </row>
    <row r="63" spans="1:6" ht="15" thickBot="1">
      <c r="A63" s="723"/>
      <c r="D63" s="727">
        <f>D61+D62</f>
        <v>74991</v>
      </c>
      <c r="E63" s="723"/>
      <c r="F63" s="723"/>
    </row>
    <row r="64" spans="1:6">
      <c r="A64" s="723"/>
      <c r="D64" s="732"/>
      <c r="E64" s="723"/>
      <c r="F64" s="723"/>
    </row>
    <row r="65" spans="1:6">
      <c r="A65" s="725" t="s">
        <v>12856</v>
      </c>
      <c r="D65" s="726">
        <f t="shared" ref="D65" si="31">D196</f>
        <v>3381</v>
      </c>
      <c r="E65" s="723"/>
      <c r="F65" s="725" t="s">
        <v>12845</v>
      </c>
    </row>
    <row r="66" spans="1:6" ht="15" thickBot="1">
      <c r="A66" s="725"/>
      <c r="D66" s="727">
        <f t="shared" ref="D66" si="32">D446</f>
        <v>71937</v>
      </c>
      <c r="E66" s="723"/>
      <c r="F66" s="725" t="s">
        <v>12857</v>
      </c>
    </row>
    <row r="67" spans="1:6" ht="15" thickBot="1">
      <c r="A67" s="723"/>
      <c r="D67" s="727">
        <f>D65+D66</f>
        <v>75318</v>
      </c>
      <c r="E67" s="723"/>
      <c r="F67" s="723"/>
    </row>
    <row r="68" spans="1:6">
      <c r="A68" s="723"/>
      <c r="D68" s="731"/>
      <c r="E68" s="723"/>
      <c r="F68" s="723"/>
    </row>
    <row r="69" spans="1:6">
      <c r="A69" s="733" t="s">
        <v>12858</v>
      </c>
      <c r="D69" s="731">
        <f>MERSEYSIDE!D43</f>
        <v>65081</v>
      </c>
      <c r="E69" s="723"/>
      <c r="F69" s="723" t="s">
        <v>12859</v>
      </c>
    </row>
    <row r="70" spans="1:6" ht="15" thickBot="1">
      <c r="A70" s="723"/>
      <c r="D70" s="727">
        <f>D480</f>
        <v>10747</v>
      </c>
      <c r="E70" s="723"/>
      <c r="F70" s="725" t="s">
        <v>12860</v>
      </c>
    </row>
    <row r="71" spans="1:6" ht="15" thickBot="1">
      <c r="A71" s="723"/>
      <c r="D71" s="727">
        <f>D69+D70</f>
        <v>75828</v>
      </c>
      <c r="E71" s="723"/>
      <c r="F71" s="723"/>
    </row>
    <row r="72" spans="1:6">
      <c r="A72" s="723"/>
      <c r="D72" s="732"/>
      <c r="E72" s="723"/>
      <c r="F72" s="723"/>
    </row>
    <row r="73" spans="1:6">
      <c r="A73" s="725" t="s">
        <v>12861</v>
      </c>
      <c r="D73" s="732">
        <f>D197</f>
        <v>4964</v>
      </c>
      <c r="E73" s="723"/>
      <c r="F73" s="725" t="s">
        <v>12857</v>
      </c>
    </row>
    <row r="74" spans="1:6" ht="15" thickBot="1">
      <c r="D74" s="727">
        <f t="shared" ref="D74" si="33">D481</f>
        <v>71897</v>
      </c>
      <c r="E74" s="723"/>
      <c r="F74" s="725" t="s">
        <v>12860</v>
      </c>
    </row>
    <row r="75" spans="1:6" ht="15" thickBot="1">
      <c r="A75" s="725"/>
      <c r="D75" s="727">
        <f>D73+D74</f>
        <v>76861</v>
      </c>
      <c r="E75" s="723"/>
      <c r="F75" s="725"/>
    </row>
    <row r="76" spans="1:6">
      <c r="A76" s="723"/>
      <c r="B76" s="723"/>
      <c r="C76" s="723"/>
      <c r="D76" s="732"/>
      <c r="E76" s="723"/>
      <c r="F76" s="723"/>
    </row>
    <row r="77" spans="1:6">
      <c r="A77" s="725" t="s">
        <v>1041</v>
      </c>
      <c r="B77" s="723"/>
      <c r="C77" s="723"/>
      <c r="D77" s="726">
        <f>D23+D25+D29+D33+D37+D39+D44+D49+D51+D57+D59+D63+D67+D70+D75</f>
        <v>1051309</v>
      </c>
      <c r="E77" s="723"/>
      <c r="F77" s="723"/>
    </row>
    <row r="78" spans="1:6">
      <c r="A78" s="723"/>
      <c r="B78" s="723"/>
      <c r="C78" s="723"/>
      <c r="D78" s="732"/>
      <c r="E78" s="723"/>
      <c r="F78" s="723"/>
    </row>
    <row r="79" spans="1:6">
      <c r="A79" s="723" t="s">
        <v>12862</v>
      </c>
      <c r="B79" s="723"/>
      <c r="C79" s="723"/>
      <c r="D79" s="726"/>
      <c r="E79" s="723"/>
      <c r="F79" s="723"/>
    </row>
    <row r="80" spans="1:6">
      <c r="A80" s="723"/>
      <c r="B80" s="723"/>
      <c r="C80" s="723"/>
      <c r="D80" s="723"/>
      <c r="E80" s="723"/>
      <c r="F80" s="723"/>
    </row>
    <row r="81" spans="1:10">
      <c r="A81" s="42"/>
      <c r="B81" s="723"/>
      <c r="C81" s="723"/>
      <c r="D81" s="723"/>
      <c r="E81" s="723"/>
      <c r="F81" s="723"/>
    </row>
    <row r="82" spans="1:10">
      <c r="A82" s="723"/>
      <c r="B82" s="723"/>
      <c r="C82" s="723"/>
      <c r="D82" s="10" t="s">
        <v>285</v>
      </c>
      <c r="E82" s="38"/>
      <c r="F82" s="38" t="s">
        <v>4116</v>
      </c>
    </row>
    <row r="83" spans="1:10">
      <c r="A83" s="723"/>
      <c r="B83" s="723"/>
      <c r="C83" s="723"/>
      <c r="D83" s="39">
        <v>2016</v>
      </c>
      <c r="E83" s="723"/>
      <c r="F83" s="41" t="s">
        <v>286</v>
      </c>
    </row>
    <row r="84" spans="1:10">
      <c r="A84" s="725" t="s">
        <v>12819</v>
      </c>
      <c r="C84" s="725"/>
      <c r="D84" s="726">
        <f t="shared" ref="D84" si="34">SUM(D85:D107)</f>
        <v>96731</v>
      </c>
      <c r="E84" s="723"/>
      <c r="F84" s="723"/>
    </row>
    <row r="85" spans="1:10">
      <c r="A85" s="725" t="s">
        <v>812</v>
      </c>
      <c r="B85" s="725" t="s">
        <v>12863</v>
      </c>
      <c r="C85" s="1" t="s">
        <v>12864</v>
      </c>
      <c r="D85" s="7">
        <v>5595</v>
      </c>
      <c r="E85" s="723"/>
      <c r="F85" s="725" t="s">
        <v>12835</v>
      </c>
      <c r="H85" s="1"/>
      <c r="J85" s="1"/>
    </row>
    <row r="86" spans="1:10">
      <c r="A86" s="725" t="s">
        <v>813</v>
      </c>
      <c r="B86" s="725" t="s">
        <v>12865</v>
      </c>
      <c r="C86" s="1" t="s">
        <v>12866</v>
      </c>
      <c r="D86" s="7">
        <v>4883</v>
      </c>
      <c r="E86" s="723"/>
      <c r="F86" s="725" t="s">
        <v>12835</v>
      </c>
      <c r="H86" s="1"/>
      <c r="J86" s="1"/>
    </row>
    <row r="87" spans="1:10">
      <c r="A87" s="725" t="s">
        <v>814</v>
      </c>
      <c r="B87" s="725" t="s">
        <v>12867</v>
      </c>
      <c r="C87" s="1" t="s">
        <v>12868</v>
      </c>
      <c r="D87" s="7">
        <v>4445</v>
      </c>
      <c r="E87" s="723"/>
      <c r="F87" s="725" t="s">
        <v>12835</v>
      </c>
      <c r="H87" s="1"/>
      <c r="J87" s="1"/>
    </row>
    <row r="88" spans="1:10">
      <c r="A88" s="725" t="s">
        <v>815</v>
      </c>
      <c r="B88" s="725" t="s">
        <v>12869</v>
      </c>
      <c r="C88" s="1" t="s">
        <v>12870</v>
      </c>
      <c r="D88" s="7">
        <v>4666</v>
      </c>
      <c r="E88" s="723"/>
      <c r="F88" s="725" t="s">
        <v>12835</v>
      </c>
      <c r="H88" s="1"/>
      <c r="J88" s="1"/>
    </row>
    <row r="89" spans="1:10">
      <c r="A89" s="725" t="s">
        <v>816</v>
      </c>
      <c r="B89" s="725" t="s">
        <v>12871</v>
      </c>
      <c r="C89" s="1" t="s">
        <v>12872</v>
      </c>
      <c r="D89" s="8">
        <v>2943</v>
      </c>
      <c r="E89" s="723"/>
      <c r="F89" s="725" t="s">
        <v>12855</v>
      </c>
      <c r="H89" s="1"/>
      <c r="J89" s="1"/>
    </row>
    <row r="90" spans="1:10">
      <c r="A90" s="725" t="s">
        <v>826</v>
      </c>
      <c r="B90" s="42" t="s">
        <v>12873</v>
      </c>
      <c r="C90" s="1" t="s">
        <v>12874</v>
      </c>
      <c r="D90" s="8">
        <v>1462</v>
      </c>
      <c r="E90" s="723"/>
      <c r="F90" s="725" t="s">
        <v>12855</v>
      </c>
      <c r="H90" s="1"/>
      <c r="J90" s="1"/>
    </row>
    <row r="91" spans="1:10">
      <c r="A91" s="725" t="s">
        <v>827</v>
      </c>
      <c r="B91" s="725" t="s">
        <v>12875</v>
      </c>
      <c r="C91" s="1" t="s">
        <v>12876</v>
      </c>
      <c r="D91" s="7">
        <v>4360</v>
      </c>
      <c r="E91" s="723"/>
      <c r="F91" s="725" t="s">
        <v>12835</v>
      </c>
      <c r="H91" s="1"/>
      <c r="J91" s="1"/>
    </row>
    <row r="92" spans="1:10">
      <c r="A92" s="725" t="s">
        <v>828</v>
      </c>
      <c r="B92" s="725" t="s">
        <v>12877</v>
      </c>
      <c r="C92" s="1" t="s">
        <v>12878</v>
      </c>
      <c r="D92" s="8">
        <v>4125</v>
      </c>
      <c r="E92" s="723"/>
      <c r="F92" s="725" t="s">
        <v>12835</v>
      </c>
      <c r="H92" s="1"/>
      <c r="J92" s="1"/>
    </row>
    <row r="93" spans="1:10">
      <c r="A93" s="725" t="s">
        <v>829</v>
      </c>
      <c r="B93" s="725" t="s">
        <v>12879</v>
      </c>
      <c r="C93" s="1" t="s">
        <v>12880</v>
      </c>
      <c r="D93" s="7">
        <v>4818</v>
      </c>
      <c r="E93" s="723"/>
      <c r="F93" s="725" t="s">
        <v>12835</v>
      </c>
      <c r="H93" s="1"/>
      <c r="J93" s="1"/>
    </row>
    <row r="94" spans="1:10">
      <c r="A94" s="725" t="s">
        <v>830</v>
      </c>
      <c r="B94" s="725" t="s">
        <v>12881</v>
      </c>
      <c r="C94" s="1" t="s">
        <v>12882</v>
      </c>
      <c r="D94" s="7">
        <v>4511</v>
      </c>
      <c r="E94" s="723"/>
      <c r="F94" s="725" t="s">
        <v>12835</v>
      </c>
      <c r="H94" s="1"/>
      <c r="J94" s="1"/>
    </row>
    <row r="95" spans="1:10">
      <c r="A95" s="725" t="s">
        <v>831</v>
      </c>
      <c r="B95" s="42" t="s">
        <v>12883</v>
      </c>
      <c r="C95" s="1" t="s">
        <v>12884</v>
      </c>
      <c r="D95" s="7">
        <v>5289</v>
      </c>
      <c r="E95" s="723"/>
      <c r="F95" s="725" t="s">
        <v>12835</v>
      </c>
      <c r="H95" s="1"/>
      <c r="J95" s="1"/>
    </row>
    <row r="96" spans="1:10">
      <c r="A96" s="725" t="s">
        <v>832</v>
      </c>
      <c r="B96" s="725" t="s">
        <v>12885</v>
      </c>
      <c r="C96" s="1" t="s">
        <v>12886</v>
      </c>
      <c r="D96" s="8">
        <v>4442</v>
      </c>
      <c r="E96" s="723"/>
      <c r="F96" s="725" t="s">
        <v>12855</v>
      </c>
      <c r="H96" s="1"/>
      <c r="J96" s="1"/>
    </row>
    <row r="97" spans="1:10">
      <c r="A97" s="725" t="s">
        <v>833</v>
      </c>
      <c r="B97" s="725" t="s">
        <v>12887</v>
      </c>
      <c r="C97" s="1" t="s">
        <v>12888</v>
      </c>
      <c r="D97" s="7">
        <v>4107</v>
      </c>
      <c r="E97" s="723"/>
      <c r="F97" s="725" t="s">
        <v>12835</v>
      </c>
      <c r="H97" s="1"/>
      <c r="J97" s="1"/>
    </row>
    <row r="98" spans="1:10">
      <c r="A98" s="725" t="s">
        <v>834</v>
      </c>
      <c r="B98" s="725" t="s">
        <v>9250</v>
      </c>
      <c r="C98" s="1" t="s">
        <v>12889</v>
      </c>
      <c r="D98" s="7">
        <v>3721</v>
      </c>
      <c r="E98" s="723"/>
      <c r="F98" s="725" t="s">
        <v>12835</v>
      </c>
      <c r="H98" s="1"/>
      <c r="J98" s="1"/>
    </row>
    <row r="99" spans="1:10">
      <c r="A99" s="725" t="s">
        <v>835</v>
      </c>
      <c r="B99" s="725" t="s">
        <v>12890</v>
      </c>
      <c r="C99" s="1" t="s">
        <v>12891</v>
      </c>
      <c r="D99" s="8">
        <v>3466</v>
      </c>
      <c r="E99" s="723"/>
      <c r="F99" s="725" t="s">
        <v>12855</v>
      </c>
      <c r="H99" s="1"/>
      <c r="J99" s="1"/>
    </row>
    <row r="100" spans="1:10">
      <c r="A100" s="725" t="s">
        <v>836</v>
      </c>
      <c r="B100" s="725" t="s">
        <v>877</v>
      </c>
      <c r="C100" s="1" t="s">
        <v>12892</v>
      </c>
      <c r="D100" s="7">
        <v>3918</v>
      </c>
      <c r="E100" s="723"/>
      <c r="F100" s="725" t="s">
        <v>12835</v>
      </c>
      <c r="H100" s="1"/>
      <c r="J100" s="1"/>
    </row>
    <row r="101" spans="1:10">
      <c r="A101" s="725" t="s">
        <v>837</v>
      </c>
      <c r="B101" s="725" t="s">
        <v>12893</v>
      </c>
      <c r="C101" s="1" t="s">
        <v>12894</v>
      </c>
      <c r="D101" s="7">
        <v>4450</v>
      </c>
      <c r="E101" s="723"/>
      <c r="F101" s="725" t="s">
        <v>12835</v>
      </c>
      <c r="H101" s="1"/>
      <c r="J101" s="1"/>
    </row>
    <row r="102" spans="1:10">
      <c r="A102" s="725" t="s">
        <v>838</v>
      </c>
      <c r="B102" s="725" t="s">
        <v>12895</v>
      </c>
      <c r="C102" s="1" t="s">
        <v>12896</v>
      </c>
      <c r="D102" s="7">
        <v>4792</v>
      </c>
      <c r="E102" s="723"/>
      <c r="F102" s="725" t="s">
        <v>12835</v>
      </c>
      <c r="H102" s="1"/>
      <c r="J102" s="1"/>
    </row>
    <row r="103" spans="1:10">
      <c r="A103" s="725" t="s">
        <v>840</v>
      </c>
      <c r="B103" s="725" t="s">
        <v>12897</v>
      </c>
      <c r="C103" s="1" t="s">
        <v>12898</v>
      </c>
      <c r="D103" s="7">
        <v>4962</v>
      </c>
      <c r="E103" s="723"/>
      <c r="F103" s="725" t="s">
        <v>12835</v>
      </c>
      <c r="H103" s="1"/>
      <c r="J103" s="1"/>
    </row>
    <row r="104" spans="1:10">
      <c r="A104" s="725" t="s">
        <v>841</v>
      </c>
      <c r="B104" s="725" t="s">
        <v>12899</v>
      </c>
      <c r="C104" s="1" t="s">
        <v>12900</v>
      </c>
      <c r="D104" s="8">
        <v>4343</v>
      </c>
      <c r="E104" s="723"/>
      <c r="F104" s="725" t="s">
        <v>12855</v>
      </c>
      <c r="H104" s="1"/>
      <c r="J104" s="1"/>
    </row>
    <row r="105" spans="1:10">
      <c r="A105" s="725" t="s">
        <v>878</v>
      </c>
      <c r="B105" s="725" t="s">
        <v>12901</v>
      </c>
      <c r="C105" s="1" t="s">
        <v>12902</v>
      </c>
      <c r="D105" s="8">
        <v>4295</v>
      </c>
      <c r="E105" s="723"/>
      <c r="F105" s="725" t="s">
        <v>12855</v>
      </c>
      <c r="H105" s="1"/>
      <c r="J105" s="1"/>
    </row>
    <row r="106" spans="1:10">
      <c r="A106" s="725" t="s">
        <v>879</v>
      </c>
      <c r="B106" s="725" t="s">
        <v>12903</v>
      </c>
      <c r="C106" s="1" t="s">
        <v>12904</v>
      </c>
      <c r="D106" s="7">
        <v>4174</v>
      </c>
      <c r="E106" s="723"/>
      <c r="F106" s="725" t="s">
        <v>12835</v>
      </c>
      <c r="H106" s="1"/>
      <c r="J106" s="1"/>
    </row>
    <row r="107" spans="1:10">
      <c r="A107" s="734">
        <v>23</v>
      </c>
      <c r="B107" s="725" t="s">
        <v>12905</v>
      </c>
      <c r="C107" s="1" t="s">
        <v>12906</v>
      </c>
      <c r="D107" s="8">
        <v>2964</v>
      </c>
      <c r="E107" s="723"/>
      <c r="F107" s="725" t="s">
        <v>12855</v>
      </c>
      <c r="H107" s="1"/>
      <c r="J107" s="1"/>
    </row>
    <row r="108" spans="1:10">
      <c r="A108" s="723"/>
      <c r="B108" s="723"/>
      <c r="D108" s="732"/>
      <c r="E108" s="723"/>
      <c r="F108" s="723"/>
    </row>
    <row r="109" spans="1:10">
      <c r="A109" s="725" t="s">
        <v>12835</v>
      </c>
      <c r="D109" s="726">
        <f>SUM(D85:D88)+SUM(D91:D95)+D97+D98+SUM(D100:D103)+D106</f>
        <v>72816</v>
      </c>
      <c r="E109" s="723"/>
      <c r="F109" s="723"/>
    </row>
    <row r="110" spans="1:10">
      <c r="A110" s="725" t="s">
        <v>12907</v>
      </c>
      <c r="D110" s="726">
        <f>D89+D90+D96+D99+D104+D105+D107</f>
        <v>23915</v>
      </c>
      <c r="E110" s="723"/>
      <c r="F110" s="723"/>
    </row>
    <row r="111" spans="1:10">
      <c r="A111" s="723"/>
      <c r="B111" s="723"/>
      <c r="D111" s="723"/>
      <c r="E111" s="723"/>
      <c r="F111" s="723"/>
    </row>
    <row r="112" spans="1:10">
      <c r="A112" s="723" t="s">
        <v>12908</v>
      </c>
      <c r="B112" s="723"/>
      <c r="D112" s="723"/>
      <c r="E112" s="723"/>
      <c r="F112" s="723"/>
    </row>
    <row r="113" spans="1:10">
      <c r="A113" s="723"/>
      <c r="B113" s="723"/>
      <c r="D113" s="723"/>
      <c r="E113" s="723"/>
      <c r="F113" s="723"/>
    </row>
    <row r="114" spans="1:10">
      <c r="A114" s="723"/>
      <c r="B114" s="723"/>
      <c r="D114" s="723"/>
      <c r="E114" s="723"/>
      <c r="F114" s="723"/>
    </row>
    <row r="115" spans="1:10">
      <c r="A115" s="723"/>
      <c r="B115" s="723"/>
      <c r="D115" s="10" t="s">
        <v>285</v>
      </c>
      <c r="E115" s="38"/>
      <c r="F115" s="38" t="s">
        <v>4116</v>
      </c>
    </row>
    <row r="116" spans="1:10">
      <c r="A116" s="723"/>
      <c r="B116" s="723"/>
      <c r="D116" s="39">
        <v>2016</v>
      </c>
      <c r="E116" s="723"/>
      <c r="F116" s="41" t="s">
        <v>286</v>
      </c>
    </row>
    <row r="117" spans="1:10">
      <c r="A117" s="725" t="s">
        <v>12820</v>
      </c>
      <c r="D117" s="726">
        <f t="shared" ref="D117" si="35">SUM(D118:D121)+SUM(D122:D138)</f>
        <v>97419</v>
      </c>
      <c r="E117" s="723"/>
      <c r="F117" s="723"/>
    </row>
    <row r="118" spans="1:10">
      <c r="A118" s="725" t="s">
        <v>812</v>
      </c>
      <c r="B118" s="725" t="s">
        <v>12909</v>
      </c>
      <c r="C118" s="1" t="s">
        <v>12910</v>
      </c>
      <c r="D118" s="7">
        <v>4978</v>
      </c>
      <c r="E118" s="723"/>
      <c r="F118" s="725" t="s">
        <v>12837</v>
      </c>
      <c r="H118" s="1"/>
      <c r="J118" s="1"/>
    </row>
    <row r="119" spans="1:10">
      <c r="A119" s="725" t="s">
        <v>813</v>
      </c>
      <c r="B119" s="725" t="s">
        <v>12911</v>
      </c>
      <c r="C119" s="1" t="s">
        <v>12912</v>
      </c>
      <c r="D119" s="7">
        <v>4731</v>
      </c>
      <c r="E119" s="723"/>
      <c r="F119" s="725" t="s">
        <v>12837</v>
      </c>
      <c r="H119" s="1"/>
      <c r="J119" s="1"/>
    </row>
    <row r="120" spans="1:10">
      <c r="A120" s="725" t="s">
        <v>814</v>
      </c>
      <c r="B120" s="725" t="s">
        <v>12913</v>
      </c>
      <c r="C120" s="1" t="s">
        <v>12914</v>
      </c>
      <c r="D120" s="7">
        <v>3898</v>
      </c>
      <c r="E120" s="723"/>
      <c r="F120" s="725" t="s">
        <v>12840</v>
      </c>
      <c r="H120" s="1"/>
      <c r="J120" s="1"/>
    </row>
    <row r="121" spans="1:10">
      <c r="A121" s="725" t="s">
        <v>815</v>
      </c>
      <c r="B121" s="725" t="s">
        <v>3353</v>
      </c>
      <c r="C121" s="1" t="s">
        <v>12915</v>
      </c>
      <c r="D121" s="7">
        <v>4174</v>
      </c>
      <c r="E121" s="723"/>
      <c r="F121" s="725" t="s">
        <v>12840</v>
      </c>
      <c r="H121" s="1"/>
      <c r="J121" s="1"/>
    </row>
    <row r="122" spans="1:10">
      <c r="A122" s="725" t="s">
        <v>816</v>
      </c>
      <c r="B122" s="725" t="s">
        <v>12613</v>
      </c>
      <c r="C122" s="1" t="s">
        <v>12916</v>
      </c>
      <c r="D122" s="7">
        <v>4442</v>
      </c>
      <c r="E122" s="723"/>
      <c r="F122" s="725" t="s">
        <v>12840</v>
      </c>
      <c r="H122" s="1"/>
      <c r="J122" s="1"/>
    </row>
    <row r="123" spans="1:10">
      <c r="A123" s="725" t="s">
        <v>826</v>
      </c>
      <c r="B123" s="725" t="s">
        <v>949</v>
      </c>
      <c r="C123" s="1" t="s">
        <v>12917</v>
      </c>
      <c r="D123" s="7">
        <v>4706</v>
      </c>
      <c r="E123" s="723"/>
      <c r="F123" s="725" t="s">
        <v>12840</v>
      </c>
      <c r="H123" s="1"/>
      <c r="J123" s="1"/>
    </row>
    <row r="124" spans="1:10">
      <c r="A124" s="725" t="s">
        <v>827</v>
      </c>
      <c r="B124" s="725" t="s">
        <v>3897</v>
      </c>
      <c r="C124" s="1" t="s">
        <v>12918</v>
      </c>
      <c r="D124" s="7">
        <v>4896</v>
      </c>
      <c r="E124" s="723"/>
      <c r="F124" s="725" t="s">
        <v>12837</v>
      </c>
      <c r="H124" s="1"/>
      <c r="J124" s="1"/>
    </row>
    <row r="125" spans="1:10">
      <c r="A125" s="725" t="s">
        <v>828</v>
      </c>
      <c r="B125" s="725" t="s">
        <v>12919</v>
      </c>
      <c r="C125" s="1" t="s">
        <v>12920</v>
      </c>
      <c r="D125" s="7">
        <v>4743</v>
      </c>
      <c r="E125" s="723"/>
      <c r="F125" s="725" t="s">
        <v>12840</v>
      </c>
      <c r="H125" s="1"/>
      <c r="J125" s="1"/>
    </row>
    <row r="126" spans="1:10">
      <c r="A126" s="725" t="s">
        <v>829</v>
      </c>
      <c r="B126" s="725" t="s">
        <v>2902</v>
      </c>
      <c r="C126" s="1" t="s">
        <v>12921</v>
      </c>
      <c r="D126" s="7">
        <v>4905</v>
      </c>
      <c r="E126" s="723"/>
      <c r="F126" s="725" t="s">
        <v>12840</v>
      </c>
      <c r="H126" s="1"/>
      <c r="J126" s="1"/>
    </row>
    <row r="127" spans="1:10">
      <c r="A127" s="725" t="s">
        <v>830</v>
      </c>
      <c r="B127" s="725" t="s">
        <v>12922</v>
      </c>
      <c r="C127" s="1" t="s">
        <v>12923</v>
      </c>
      <c r="D127" s="7">
        <v>4866</v>
      </c>
      <c r="E127" s="723"/>
      <c r="F127" s="725" t="s">
        <v>12837</v>
      </c>
      <c r="H127" s="1"/>
      <c r="J127" s="1"/>
    </row>
    <row r="128" spans="1:10">
      <c r="A128" s="725" t="s">
        <v>831</v>
      </c>
      <c r="B128" s="725" t="s">
        <v>12924</v>
      </c>
      <c r="C128" s="1" t="s">
        <v>12925</v>
      </c>
      <c r="D128" s="7">
        <v>4538</v>
      </c>
      <c r="E128" s="723"/>
      <c r="F128" s="725" t="s">
        <v>12840</v>
      </c>
      <c r="H128" s="1"/>
      <c r="J128" s="1"/>
    </row>
    <row r="129" spans="1:10">
      <c r="A129" s="725" t="s">
        <v>832</v>
      </c>
      <c r="B129" s="725" t="s">
        <v>12926</v>
      </c>
      <c r="C129" s="1" t="s">
        <v>12927</v>
      </c>
      <c r="D129" s="7">
        <v>4965</v>
      </c>
      <c r="E129" s="723"/>
      <c r="F129" s="725" t="s">
        <v>12840</v>
      </c>
      <c r="H129" s="1"/>
      <c r="J129" s="1"/>
    </row>
    <row r="130" spans="1:10">
      <c r="A130" s="725" t="s">
        <v>833</v>
      </c>
      <c r="B130" s="725" t="s">
        <v>12928</v>
      </c>
      <c r="C130" s="1" t="s">
        <v>12929</v>
      </c>
      <c r="D130" s="7">
        <v>4955</v>
      </c>
      <c r="E130" s="723"/>
      <c r="F130" s="725" t="s">
        <v>12837</v>
      </c>
      <c r="H130" s="1"/>
      <c r="J130" s="1"/>
    </row>
    <row r="131" spans="1:10">
      <c r="A131" s="725" t="s">
        <v>834</v>
      </c>
      <c r="B131" s="725" t="s">
        <v>303</v>
      </c>
      <c r="C131" s="1" t="s">
        <v>12930</v>
      </c>
      <c r="D131" s="7">
        <v>4822</v>
      </c>
      <c r="E131" s="723"/>
      <c r="F131" s="725" t="s">
        <v>12840</v>
      </c>
      <c r="H131" s="1"/>
      <c r="J131" s="1"/>
    </row>
    <row r="132" spans="1:10">
      <c r="A132" s="725" t="s">
        <v>835</v>
      </c>
      <c r="B132" s="725" t="s">
        <v>12931</v>
      </c>
      <c r="C132" s="1" t="s">
        <v>12932</v>
      </c>
      <c r="D132" s="8">
        <v>4603</v>
      </c>
      <c r="E132" s="723"/>
      <c r="F132" s="725" t="s">
        <v>12840</v>
      </c>
      <c r="H132" s="1"/>
      <c r="J132" s="1"/>
    </row>
    <row r="133" spans="1:10">
      <c r="A133" s="725" t="s">
        <v>836</v>
      </c>
      <c r="B133" s="725" t="s">
        <v>6356</v>
      </c>
      <c r="C133" s="1" t="s">
        <v>12933</v>
      </c>
      <c r="D133" s="8">
        <v>4980</v>
      </c>
      <c r="E133" s="723"/>
      <c r="F133" s="725" t="s">
        <v>12840</v>
      </c>
      <c r="H133" s="1"/>
      <c r="J133" s="1"/>
    </row>
    <row r="134" spans="1:10">
      <c r="A134" s="725" t="s">
        <v>837</v>
      </c>
      <c r="B134" s="725" t="s">
        <v>12934</v>
      </c>
      <c r="C134" s="1" t="s">
        <v>12935</v>
      </c>
      <c r="D134" s="8">
        <v>4144</v>
      </c>
      <c r="E134" s="723"/>
      <c r="F134" s="725" t="s">
        <v>12840</v>
      </c>
      <c r="H134" s="1"/>
      <c r="J134" s="1"/>
    </row>
    <row r="135" spans="1:10">
      <c r="A135" s="725" t="s">
        <v>838</v>
      </c>
      <c r="B135" s="725" t="s">
        <v>12808</v>
      </c>
      <c r="C135" s="1" t="s">
        <v>12936</v>
      </c>
      <c r="D135" s="8">
        <v>4546</v>
      </c>
      <c r="E135" s="723"/>
      <c r="F135" s="725" t="s">
        <v>12840</v>
      </c>
      <c r="H135" s="1"/>
      <c r="J135" s="1"/>
    </row>
    <row r="136" spans="1:10">
      <c r="A136" s="725" t="s">
        <v>840</v>
      </c>
      <c r="B136" s="725" t="s">
        <v>5586</v>
      </c>
      <c r="C136" s="1" t="s">
        <v>12937</v>
      </c>
      <c r="D136" s="8">
        <v>4533</v>
      </c>
      <c r="E136" s="723"/>
      <c r="F136" s="725" t="s">
        <v>12840</v>
      </c>
      <c r="H136" s="1"/>
      <c r="J136" s="1"/>
    </row>
    <row r="137" spans="1:10">
      <c r="A137" s="725" t="s">
        <v>841</v>
      </c>
      <c r="B137" s="725" t="s">
        <v>12938</v>
      </c>
      <c r="C137" s="1" t="s">
        <v>12939</v>
      </c>
      <c r="D137" s="7">
        <v>4584</v>
      </c>
      <c r="E137" s="723"/>
      <c r="F137" s="725" t="s">
        <v>12837</v>
      </c>
      <c r="H137" s="1"/>
      <c r="J137" s="1"/>
    </row>
    <row r="138" spans="1:10">
      <c r="A138" s="725" t="s">
        <v>878</v>
      </c>
      <c r="B138" s="725" t="s">
        <v>12940</v>
      </c>
      <c r="C138" s="1" t="s">
        <v>12941</v>
      </c>
      <c r="D138" s="8">
        <v>4410</v>
      </c>
      <c r="E138" s="723"/>
      <c r="F138" s="725" t="s">
        <v>12840</v>
      </c>
      <c r="H138" s="1"/>
      <c r="J138" s="1"/>
    </row>
    <row r="139" spans="1:10">
      <c r="A139" s="723"/>
      <c r="B139" s="723"/>
      <c r="D139" s="732"/>
      <c r="E139" s="723"/>
      <c r="F139" s="723"/>
    </row>
    <row r="140" spans="1:10">
      <c r="A140" s="725" t="s">
        <v>12942</v>
      </c>
      <c r="D140" s="726">
        <f>D118+D119+D124+D127+D130+D137</f>
        <v>29010</v>
      </c>
      <c r="E140" s="723"/>
      <c r="F140" s="723"/>
    </row>
    <row r="141" spans="1:10">
      <c r="A141" s="725" t="s">
        <v>12943</v>
      </c>
      <c r="D141" s="726">
        <f>SUM(D120:D123)+D125+D126+D128+D129+SUM(D131:D136)+D138</f>
        <v>68409</v>
      </c>
      <c r="E141" s="723"/>
      <c r="F141" s="723"/>
    </row>
    <row r="142" spans="1:10">
      <c r="A142" s="723"/>
      <c r="B142" s="723"/>
      <c r="D142" s="723"/>
      <c r="E142" s="723"/>
      <c r="F142" s="723"/>
    </row>
    <row r="143" spans="1:10">
      <c r="A143" s="723" t="s">
        <v>12944</v>
      </c>
      <c r="B143" s="723"/>
      <c r="D143" s="723"/>
      <c r="E143" s="723"/>
      <c r="F143" s="723"/>
    </row>
    <row r="144" spans="1:10">
      <c r="A144" s="723"/>
      <c r="B144" s="723"/>
      <c r="D144" s="723"/>
      <c r="E144" s="723"/>
      <c r="F144" s="723"/>
    </row>
    <row r="145" spans="1:9">
      <c r="A145" s="723"/>
      <c r="B145" s="723"/>
      <c r="D145" s="723"/>
      <c r="E145" s="723"/>
      <c r="F145" s="723"/>
    </row>
    <row r="146" spans="1:9">
      <c r="A146" s="723"/>
      <c r="B146" s="723"/>
      <c r="D146" s="10" t="s">
        <v>285</v>
      </c>
      <c r="E146" s="38"/>
      <c r="F146" s="38" t="s">
        <v>4116</v>
      </c>
    </row>
    <row r="147" spans="1:9">
      <c r="A147" s="723"/>
      <c r="B147" s="723"/>
      <c r="D147" s="39">
        <v>2016</v>
      </c>
      <c r="E147" s="723"/>
      <c r="F147" s="41" t="s">
        <v>286</v>
      </c>
    </row>
    <row r="148" spans="1:9">
      <c r="A148" s="725" t="s">
        <v>12945</v>
      </c>
      <c r="D148" s="726">
        <f t="shared" ref="D148" si="36">SUM(D149:D163)</f>
        <v>63228</v>
      </c>
      <c r="E148" s="723"/>
      <c r="F148" s="723"/>
    </row>
    <row r="149" spans="1:9">
      <c r="A149" s="725" t="s">
        <v>812</v>
      </c>
      <c r="B149" s="725" t="s">
        <v>12946</v>
      </c>
      <c r="C149" s="1" t="s">
        <v>12947</v>
      </c>
      <c r="D149" s="7">
        <v>3971</v>
      </c>
      <c r="E149" s="723"/>
      <c r="F149" s="725" t="s">
        <v>12842</v>
      </c>
      <c r="G149" s="1"/>
      <c r="I149" s="1"/>
    </row>
    <row r="150" spans="1:9">
      <c r="A150" s="725" t="s">
        <v>813</v>
      </c>
      <c r="B150" s="725" t="s">
        <v>12948</v>
      </c>
      <c r="C150" s="1" t="s">
        <v>12949</v>
      </c>
      <c r="D150" s="7">
        <v>4337</v>
      </c>
      <c r="E150" s="723"/>
      <c r="F150" s="725" t="s">
        <v>12842</v>
      </c>
      <c r="G150" s="1"/>
      <c r="I150" s="1"/>
    </row>
    <row r="151" spans="1:9">
      <c r="A151" s="725" t="s">
        <v>814</v>
      </c>
      <c r="B151" s="725" t="s">
        <v>12950</v>
      </c>
      <c r="C151" s="1" t="s">
        <v>12951</v>
      </c>
      <c r="D151" s="7">
        <v>4669</v>
      </c>
      <c r="E151" s="723"/>
      <c r="F151" s="725" t="s">
        <v>12842</v>
      </c>
      <c r="G151" s="1"/>
      <c r="I151" s="1"/>
    </row>
    <row r="152" spans="1:9">
      <c r="A152" s="725" t="s">
        <v>815</v>
      </c>
      <c r="B152" s="725" t="s">
        <v>12952</v>
      </c>
      <c r="C152" s="1" t="s">
        <v>12953</v>
      </c>
      <c r="D152" s="7">
        <v>4209</v>
      </c>
      <c r="E152" s="723"/>
      <c r="F152" s="725" t="s">
        <v>12842</v>
      </c>
      <c r="G152" s="1"/>
      <c r="I152" s="1"/>
    </row>
    <row r="153" spans="1:9">
      <c r="A153" s="725" t="s">
        <v>816</v>
      </c>
      <c r="B153" s="725" t="s">
        <v>12954</v>
      </c>
      <c r="C153" s="1" t="s">
        <v>12955</v>
      </c>
      <c r="D153" s="7">
        <v>3892</v>
      </c>
      <c r="E153" s="723"/>
      <c r="F153" s="725" t="s">
        <v>12833</v>
      </c>
      <c r="G153" s="1"/>
      <c r="I153" s="1"/>
    </row>
    <row r="154" spans="1:9">
      <c r="A154" s="725" t="s">
        <v>826</v>
      </c>
      <c r="B154" s="725" t="s">
        <v>12956</v>
      </c>
      <c r="C154" s="1" t="s">
        <v>12957</v>
      </c>
      <c r="D154" s="7">
        <v>3685</v>
      </c>
      <c r="E154" s="723"/>
      <c r="F154" s="725" t="s">
        <v>12842</v>
      </c>
      <c r="G154" s="1"/>
      <c r="I154" s="1"/>
    </row>
    <row r="155" spans="1:9">
      <c r="A155" s="725" t="s">
        <v>827</v>
      </c>
      <c r="B155" s="725" t="s">
        <v>12958</v>
      </c>
      <c r="C155" s="1" t="s">
        <v>12959</v>
      </c>
      <c r="D155" s="7">
        <v>4150</v>
      </c>
      <c r="E155" s="723"/>
      <c r="F155" s="725" t="s">
        <v>12842</v>
      </c>
      <c r="G155" s="1"/>
      <c r="I155" s="1"/>
    </row>
    <row r="156" spans="1:9">
      <c r="A156" s="725" t="s">
        <v>828</v>
      </c>
      <c r="B156" s="725" t="s">
        <v>12960</v>
      </c>
      <c r="C156" s="1" t="s">
        <v>12961</v>
      </c>
      <c r="D156" s="7">
        <v>4417</v>
      </c>
      <c r="E156" s="723"/>
      <c r="F156" s="725" t="s">
        <v>12833</v>
      </c>
      <c r="G156" s="1"/>
      <c r="I156" s="1"/>
    </row>
    <row r="157" spans="1:9">
      <c r="A157" s="725" t="s">
        <v>829</v>
      </c>
      <c r="B157" s="725" t="s">
        <v>12962</v>
      </c>
      <c r="C157" s="1" t="s">
        <v>12963</v>
      </c>
      <c r="D157" s="7">
        <v>4489</v>
      </c>
      <c r="E157" s="723"/>
      <c r="F157" s="725" t="s">
        <v>12833</v>
      </c>
      <c r="G157" s="1"/>
      <c r="I157" s="1"/>
    </row>
    <row r="158" spans="1:9">
      <c r="A158" s="725" t="s">
        <v>830</v>
      </c>
      <c r="B158" s="725" t="s">
        <v>12964</v>
      </c>
      <c r="C158" s="1" t="s">
        <v>12965</v>
      </c>
      <c r="D158" s="7">
        <v>4416</v>
      </c>
      <c r="E158" s="723"/>
      <c r="F158" s="725" t="s">
        <v>12842</v>
      </c>
      <c r="G158" s="1"/>
      <c r="I158" s="1"/>
    </row>
    <row r="159" spans="1:9">
      <c r="A159" s="725" t="s">
        <v>831</v>
      </c>
      <c r="B159" s="725" t="s">
        <v>12966</v>
      </c>
      <c r="C159" s="1" t="s">
        <v>12967</v>
      </c>
      <c r="D159" s="7">
        <v>3887</v>
      </c>
      <c r="E159" s="723"/>
      <c r="F159" s="725" t="s">
        <v>12842</v>
      </c>
      <c r="G159" s="1"/>
      <c r="I159" s="1"/>
    </row>
    <row r="160" spans="1:9">
      <c r="A160" s="725" t="s">
        <v>832</v>
      </c>
      <c r="B160" s="725" t="s">
        <v>12968</v>
      </c>
      <c r="C160" s="1" t="s">
        <v>12969</v>
      </c>
      <c r="D160" s="7">
        <v>4456</v>
      </c>
      <c r="E160" s="723"/>
      <c r="F160" s="725" t="s">
        <v>12842</v>
      </c>
      <c r="G160" s="1"/>
      <c r="I160" s="1"/>
    </row>
    <row r="161" spans="1:9">
      <c r="A161" s="725" t="s">
        <v>833</v>
      </c>
      <c r="B161" s="725" t="s">
        <v>12970</v>
      </c>
      <c r="C161" s="1" t="s">
        <v>12971</v>
      </c>
      <c r="D161" s="7">
        <v>4293</v>
      </c>
      <c r="E161" s="723"/>
      <c r="F161" s="725" t="s">
        <v>12842</v>
      </c>
      <c r="G161" s="1"/>
      <c r="I161" s="1"/>
    </row>
    <row r="162" spans="1:9">
      <c r="A162" s="725" t="s">
        <v>834</v>
      </c>
      <c r="B162" s="725" t="s">
        <v>679</v>
      </c>
      <c r="C162" s="1" t="s">
        <v>12972</v>
      </c>
      <c r="D162" s="7">
        <v>3682</v>
      </c>
      <c r="E162" s="723"/>
      <c r="F162" s="725" t="s">
        <v>12842</v>
      </c>
      <c r="G162" s="1"/>
      <c r="I162" s="1"/>
    </row>
    <row r="163" spans="1:9">
      <c r="A163" s="725" t="s">
        <v>835</v>
      </c>
      <c r="B163" s="725" t="s">
        <v>12973</v>
      </c>
      <c r="C163" s="1" t="s">
        <v>12974</v>
      </c>
      <c r="D163" s="7">
        <v>4675</v>
      </c>
      <c r="E163" s="723"/>
      <c r="F163" s="725" t="s">
        <v>12842</v>
      </c>
      <c r="G163" s="1"/>
      <c r="I163" s="1"/>
    </row>
    <row r="164" spans="1:9">
      <c r="A164" s="723"/>
      <c r="B164" s="723"/>
      <c r="D164" s="735"/>
      <c r="E164" s="723"/>
      <c r="F164" s="723"/>
    </row>
    <row r="165" spans="1:9">
      <c r="A165" s="725" t="s">
        <v>12975</v>
      </c>
      <c r="B165" s="723"/>
      <c r="D165" s="8">
        <f>D153+D156+D157</f>
        <v>12798</v>
      </c>
      <c r="E165" s="723"/>
      <c r="F165" s="723"/>
    </row>
    <row r="166" spans="1:9">
      <c r="A166" s="725" t="s">
        <v>12976</v>
      </c>
      <c r="D166" s="726">
        <f>SUM(D149:D152)+D154+D155+SUM(D158:D163)</f>
        <v>50430</v>
      </c>
      <c r="E166" s="723"/>
      <c r="F166" s="723"/>
    </row>
    <row r="167" spans="1:9">
      <c r="A167" s="725"/>
      <c r="D167" s="726"/>
      <c r="E167" s="723"/>
      <c r="F167" s="723"/>
    </row>
    <row r="168" spans="1:9">
      <c r="A168" s="725" t="s">
        <v>12977</v>
      </c>
      <c r="D168" s="726"/>
      <c r="E168" s="723"/>
      <c r="F168" s="723"/>
    </row>
    <row r="169" spans="1:9">
      <c r="A169" s="725"/>
      <c r="B169" s="725"/>
      <c r="D169" s="736"/>
      <c r="E169" s="723"/>
      <c r="F169" s="723"/>
    </row>
    <row r="170" spans="1:9">
      <c r="A170" s="725"/>
      <c r="B170" s="725"/>
      <c r="D170" s="736"/>
      <c r="E170" s="723"/>
      <c r="F170" s="723"/>
    </row>
    <row r="171" spans="1:9">
      <c r="A171" s="723"/>
      <c r="B171" s="723"/>
      <c r="D171" s="10" t="s">
        <v>285</v>
      </c>
      <c r="E171" s="38"/>
      <c r="F171" s="38" t="s">
        <v>4116</v>
      </c>
    </row>
    <row r="172" spans="1:9">
      <c r="A172" s="723"/>
      <c r="B172" s="723"/>
      <c r="D172" s="39">
        <v>2016</v>
      </c>
      <c r="E172" s="723"/>
      <c r="F172" s="41" t="s">
        <v>286</v>
      </c>
    </row>
    <row r="173" spans="1:9">
      <c r="A173" s="725" t="s">
        <v>12978</v>
      </c>
      <c r="D173" s="726">
        <f t="shared" ref="D173" si="37">SUM(D174:D193)</f>
        <v>81668</v>
      </c>
      <c r="E173" s="723"/>
      <c r="F173" s="723"/>
    </row>
    <row r="174" spans="1:9">
      <c r="A174" s="725" t="s">
        <v>812</v>
      </c>
      <c r="B174" s="725" t="s">
        <v>12979</v>
      </c>
      <c r="C174" s="1" t="s">
        <v>12980</v>
      </c>
      <c r="D174" s="13">
        <v>5769</v>
      </c>
      <c r="E174" s="723"/>
      <c r="F174" s="725" t="s">
        <v>12844</v>
      </c>
      <c r="G174" s="1"/>
      <c r="I174" s="1"/>
    </row>
    <row r="175" spans="1:9">
      <c r="A175" s="725" t="s">
        <v>813</v>
      </c>
      <c r="B175" s="725" t="s">
        <v>12981</v>
      </c>
      <c r="C175" s="1" t="s">
        <v>12982</v>
      </c>
      <c r="D175" s="13">
        <v>4320</v>
      </c>
      <c r="E175" s="723"/>
      <c r="F175" s="725" t="s">
        <v>12844</v>
      </c>
      <c r="G175" s="1"/>
      <c r="I175" s="1"/>
    </row>
    <row r="176" spans="1:9">
      <c r="A176" s="725" t="s">
        <v>814</v>
      </c>
      <c r="B176" s="725" t="s">
        <v>12983</v>
      </c>
      <c r="C176" s="1" t="s">
        <v>12984</v>
      </c>
      <c r="D176" s="13">
        <v>1671</v>
      </c>
      <c r="E176" s="723"/>
      <c r="F176" s="725" t="s">
        <v>12844</v>
      </c>
      <c r="G176" s="1"/>
      <c r="I176" s="1"/>
    </row>
    <row r="177" spans="1:9">
      <c r="A177" s="725" t="s">
        <v>815</v>
      </c>
      <c r="B177" s="725" t="s">
        <v>12985</v>
      </c>
      <c r="C177" s="1" t="s">
        <v>12986</v>
      </c>
      <c r="D177" s="13">
        <v>3238</v>
      </c>
      <c r="E177" s="723"/>
      <c r="F177" s="725" t="s">
        <v>12844</v>
      </c>
      <c r="G177" s="1"/>
      <c r="I177" s="1"/>
    </row>
    <row r="178" spans="1:9">
      <c r="A178" s="725" t="s">
        <v>816</v>
      </c>
      <c r="B178" s="725" t="s">
        <v>12987</v>
      </c>
      <c r="C178" s="1" t="s">
        <v>12988</v>
      </c>
      <c r="D178" s="13">
        <v>4956</v>
      </c>
      <c r="E178" s="723"/>
      <c r="F178" s="725" t="s">
        <v>12844</v>
      </c>
      <c r="I178" s="1"/>
    </row>
    <row r="179" spans="1:9">
      <c r="A179" s="725" t="s">
        <v>826</v>
      </c>
      <c r="B179" s="725" t="s">
        <v>12989</v>
      </c>
      <c r="C179" s="1" t="s">
        <v>12990</v>
      </c>
      <c r="D179" s="13">
        <v>4717</v>
      </c>
      <c r="E179" s="723"/>
      <c r="F179" s="725" t="s">
        <v>12844</v>
      </c>
      <c r="G179" s="1"/>
      <c r="I179" s="1"/>
    </row>
    <row r="180" spans="1:9">
      <c r="A180" s="725" t="s">
        <v>827</v>
      </c>
      <c r="B180" s="725" t="s">
        <v>12991</v>
      </c>
      <c r="C180" s="1" t="s">
        <v>12992</v>
      </c>
      <c r="D180" s="13">
        <v>4566</v>
      </c>
      <c r="E180" s="723"/>
      <c r="F180" s="725" t="s">
        <v>12844</v>
      </c>
      <c r="I180" s="1"/>
    </row>
    <row r="181" spans="1:9">
      <c r="A181" s="725" t="s">
        <v>828</v>
      </c>
      <c r="B181" s="725" t="s">
        <v>12993</v>
      </c>
      <c r="C181" s="1" t="s">
        <v>12994</v>
      </c>
      <c r="D181" s="13">
        <v>5411</v>
      </c>
      <c r="E181" s="723"/>
      <c r="F181" s="725" t="s">
        <v>12844</v>
      </c>
      <c r="G181" s="1"/>
      <c r="I181" s="1"/>
    </row>
    <row r="182" spans="1:9">
      <c r="A182" s="725" t="s">
        <v>829</v>
      </c>
      <c r="B182" s="725" t="s">
        <v>12995</v>
      </c>
      <c r="C182" s="1" t="s">
        <v>12996</v>
      </c>
      <c r="D182" s="13">
        <v>5817</v>
      </c>
      <c r="E182" s="723"/>
      <c r="F182" s="725" t="s">
        <v>12844</v>
      </c>
      <c r="G182" s="1"/>
      <c r="I182" s="1"/>
    </row>
    <row r="183" spans="1:9">
      <c r="A183" s="725" t="s">
        <v>830</v>
      </c>
      <c r="B183" s="725" t="s">
        <v>12997</v>
      </c>
      <c r="C183" s="1" t="s">
        <v>12998</v>
      </c>
      <c r="D183" s="13">
        <v>6425</v>
      </c>
      <c r="E183" s="723"/>
      <c r="F183" s="725" t="s">
        <v>12844</v>
      </c>
      <c r="I183" s="1"/>
    </row>
    <row r="184" spans="1:9">
      <c r="A184" s="725" t="s">
        <v>831</v>
      </c>
      <c r="B184" s="725" t="s">
        <v>12999</v>
      </c>
      <c r="C184" s="1" t="s">
        <v>13000</v>
      </c>
      <c r="D184" s="13">
        <v>4848</v>
      </c>
      <c r="E184" s="723"/>
      <c r="F184" s="725" t="s">
        <v>12844</v>
      </c>
      <c r="I184" s="1"/>
    </row>
    <row r="185" spans="1:9">
      <c r="A185" s="725" t="s">
        <v>832</v>
      </c>
      <c r="B185" s="725" t="s">
        <v>13001</v>
      </c>
      <c r="C185" s="1" t="s">
        <v>13002</v>
      </c>
      <c r="D185" s="13">
        <v>3451</v>
      </c>
      <c r="E185" s="723"/>
      <c r="F185" s="725" t="s">
        <v>12844</v>
      </c>
      <c r="I185" s="1"/>
    </row>
    <row r="186" spans="1:9">
      <c r="A186" s="725" t="s">
        <v>833</v>
      </c>
      <c r="B186" s="725" t="s">
        <v>13003</v>
      </c>
      <c r="C186" s="1" t="s">
        <v>13004</v>
      </c>
      <c r="D186" s="13">
        <v>4823</v>
      </c>
      <c r="E186" s="723"/>
      <c r="F186" s="725" t="s">
        <v>12844</v>
      </c>
      <c r="G186" s="1"/>
      <c r="I186" s="1"/>
    </row>
    <row r="187" spans="1:9">
      <c r="A187" s="725" t="s">
        <v>834</v>
      </c>
      <c r="B187" s="725" t="s">
        <v>13005</v>
      </c>
      <c r="C187" s="1" t="s">
        <v>13006</v>
      </c>
      <c r="D187" s="13">
        <v>4964</v>
      </c>
      <c r="E187" s="723"/>
      <c r="F187" s="725" t="s">
        <v>12861</v>
      </c>
      <c r="G187" s="1"/>
      <c r="I187" s="1"/>
    </row>
    <row r="188" spans="1:9">
      <c r="A188" s="725" t="s">
        <v>835</v>
      </c>
      <c r="B188" s="725" t="s">
        <v>13007</v>
      </c>
      <c r="C188" s="1" t="s">
        <v>13008</v>
      </c>
      <c r="D188" s="13">
        <v>3483</v>
      </c>
      <c r="E188" s="723"/>
      <c r="F188" s="725" t="s">
        <v>12844</v>
      </c>
      <c r="G188" s="1"/>
      <c r="I188" s="1"/>
    </row>
    <row r="189" spans="1:9">
      <c r="A189" s="725" t="s">
        <v>836</v>
      </c>
      <c r="B189" s="725" t="s">
        <v>13009</v>
      </c>
      <c r="C189" s="1" t="s">
        <v>13010</v>
      </c>
      <c r="D189" s="13">
        <v>3113</v>
      </c>
      <c r="E189" s="723"/>
      <c r="F189" s="725" t="s">
        <v>12844</v>
      </c>
      <c r="G189" s="1"/>
      <c r="I189" s="1"/>
    </row>
    <row r="190" spans="1:9">
      <c r="A190" s="725" t="s">
        <v>837</v>
      </c>
      <c r="B190" s="725" t="s">
        <v>13011</v>
      </c>
      <c r="C190" s="1" t="s">
        <v>13012</v>
      </c>
      <c r="D190" s="13">
        <v>1739</v>
      </c>
      <c r="E190" s="723"/>
      <c r="F190" s="725" t="s">
        <v>12844</v>
      </c>
      <c r="G190" s="1"/>
      <c r="I190" s="1"/>
    </row>
    <row r="191" spans="1:9">
      <c r="A191" s="725" t="s">
        <v>838</v>
      </c>
      <c r="B191" s="725" t="s">
        <v>13013</v>
      </c>
      <c r="C191" s="1" t="s">
        <v>13014</v>
      </c>
      <c r="D191" s="13">
        <v>3381</v>
      </c>
      <c r="E191" s="723"/>
      <c r="F191" s="725" t="s">
        <v>12856</v>
      </c>
      <c r="G191" s="1"/>
      <c r="I191" s="1"/>
    </row>
    <row r="192" spans="1:9">
      <c r="A192" s="725" t="s">
        <v>840</v>
      </c>
      <c r="B192" s="725" t="s">
        <v>13015</v>
      </c>
      <c r="C192" s="1" t="s">
        <v>13016</v>
      </c>
      <c r="D192" s="13">
        <v>1768</v>
      </c>
      <c r="E192" s="723"/>
      <c r="F192" s="725" t="s">
        <v>12844</v>
      </c>
      <c r="G192" s="1"/>
      <c r="I192" s="1"/>
    </row>
    <row r="193" spans="1:9">
      <c r="A193" s="725" t="s">
        <v>841</v>
      </c>
      <c r="B193" s="725" t="s">
        <v>13017</v>
      </c>
      <c r="C193" s="1" t="s">
        <v>13018</v>
      </c>
      <c r="D193" s="13">
        <v>3208</v>
      </c>
      <c r="E193" s="723"/>
      <c r="F193" s="725" t="s">
        <v>12844</v>
      </c>
      <c r="G193" s="1"/>
      <c r="I193" s="1"/>
    </row>
    <row r="194" spans="1:9">
      <c r="A194" s="723"/>
      <c r="B194" s="723"/>
      <c r="D194" s="732"/>
      <c r="E194" s="723"/>
      <c r="F194" s="723"/>
    </row>
    <row r="195" spans="1:9">
      <c r="A195" s="725" t="s">
        <v>12844</v>
      </c>
      <c r="D195" s="726">
        <f t="shared" ref="D195" si="38">SUM(D174:D186)+SUM(D188:D190)+D192+D193</f>
        <v>73323</v>
      </c>
      <c r="E195" s="723"/>
      <c r="F195" s="723"/>
    </row>
    <row r="196" spans="1:9">
      <c r="A196" s="725" t="s">
        <v>13019</v>
      </c>
      <c r="D196" s="726">
        <f>D191</f>
        <v>3381</v>
      </c>
      <c r="E196" s="723"/>
      <c r="F196" s="723"/>
    </row>
    <row r="197" spans="1:9">
      <c r="A197" s="725" t="s">
        <v>13020</v>
      </c>
      <c r="D197" s="726">
        <f>D187</f>
        <v>4964</v>
      </c>
      <c r="E197" s="723"/>
      <c r="F197" s="723"/>
    </row>
    <row r="198" spans="1:9">
      <c r="A198" s="725"/>
      <c r="D198" s="726"/>
      <c r="E198" s="723"/>
      <c r="F198" s="723"/>
    </row>
    <row r="199" spans="1:9">
      <c r="A199" s="725" t="s">
        <v>13021</v>
      </c>
      <c r="D199" s="726"/>
      <c r="E199" s="723"/>
      <c r="F199" s="723"/>
    </row>
    <row r="200" spans="1:9">
      <c r="A200" s="725"/>
      <c r="B200" s="725"/>
      <c r="D200" s="736"/>
      <c r="E200" s="723"/>
      <c r="F200" s="723"/>
    </row>
    <row r="201" spans="1:9">
      <c r="A201" s="725"/>
      <c r="B201" s="725"/>
      <c r="D201" s="736"/>
      <c r="E201" s="723"/>
      <c r="F201" s="723"/>
    </row>
    <row r="202" spans="1:9">
      <c r="A202" s="723"/>
      <c r="B202" s="723"/>
      <c r="D202" s="10" t="s">
        <v>285</v>
      </c>
      <c r="E202" s="38"/>
      <c r="F202" s="38" t="s">
        <v>4116</v>
      </c>
    </row>
    <row r="203" spans="1:9">
      <c r="A203" s="723"/>
      <c r="B203" s="723"/>
      <c r="D203" s="39">
        <v>2016</v>
      </c>
      <c r="E203" s="723"/>
      <c r="F203" s="41" t="s">
        <v>286</v>
      </c>
    </row>
    <row r="204" spans="1:9">
      <c r="A204" s="725" t="s">
        <v>13022</v>
      </c>
      <c r="D204" s="726">
        <f t="shared" ref="D204" si="39">SUM(D205:D225)</f>
        <v>59381</v>
      </c>
      <c r="E204" s="723"/>
      <c r="F204" s="723"/>
    </row>
    <row r="205" spans="1:9">
      <c r="A205" s="725" t="s">
        <v>812</v>
      </c>
      <c r="B205" s="725" t="s">
        <v>13023</v>
      </c>
      <c r="C205" s="1" t="s">
        <v>13024</v>
      </c>
      <c r="D205" s="7">
        <v>3443</v>
      </c>
      <c r="E205" s="723"/>
      <c r="F205" s="725" t="s">
        <v>12849</v>
      </c>
      <c r="G205" s="1"/>
      <c r="I205" s="1"/>
    </row>
    <row r="206" spans="1:9">
      <c r="A206" s="725" t="s">
        <v>813</v>
      </c>
      <c r="B206" s="725" t="s">
        <v>12770</v>
      </c>
      <c r="C206" s="1" t="s">
        <v>13025</v>
      </c>
      <c r="D206" s="7">
        <v>3621</v>
      </c>
      <c r="E206" s="723"/>
      <c r="F206" s="725" t="s">
        <v>12849</v>
      </c>
      <c r="G206" s="1"/>
      <c r="I206" s="1"/>
    </row>
    <row r="207" spans="1:9">
      <c r="A207" s="725" t="s">
        <v>814</v>
      </c>
      <c r="B207" s="725" t="s">
        <v>888</v>
      </c>
      <c r="C207" s="1" t="s">
        <v>13026</v>
      </c>
      <c r="D207" s="7">
        <v>3073</v>
      </c>
      <c r="E207" s="723"/>
      <c r="F207" s="725" t="s">
        <v>12849</v>
      </c>
      <c r="G207" s="1"/>
      <c r="I207" s="1"/>
    </row>
    <row r="208" spans="1:9">
      <c r="A208" s="725" t="s">
        <v>815</v>
      </c>
      <c r="B208" s="725" t="s">
        <v>949</v>
      </c>
      <c r="C208" s="1" t="s">
        <v>13027</v>
      </c>
      <c r="D208" s="7">
        <v>3246</v>
      </c>
      <c r="E208" s="723"/>
      <c r="F208" s="725" t="s">
        <v>12849</v>
      </c>
      <c r="G208" s="1"/>
      <c r="I208" s="1"/>
    </row>
    <row r="209" spans="1:9">
      <c r="A209" s="725" t="s">
        <v>816</v>
      </c>
      <c r="B209" s="725" t="s">
        <v>13028</v>
      </c>
      <c r="C209" s="1" t="s">
        <v>13029</v>
      </c>
      <c r="D209" s="7">
        <v>1228</v>
      </c>
      <c r="E209" s="723"/>
      <c r="F209" s="725" t="s">
        <v>12849</v>
      </c>
      <c r="G209" s="1"/>
      <c r="I209" s="1"/>
    </row>
    <row r="210" spans="1:9">
      <c r="A210" s="725" t="s">
        <v>826</v>
      </c>
      <c r="B210" s="725" t="s">
        <v>13030</v>
      </c>
      <c r="C210" s="1" t="s">
        <v>13031</v>
      </c>
      <c r="D210" s="7">
        <v>3368</v>
      </c>
      <c r="E210" s="723"/>
      <c r="F210" s="725" t="s">
        <v>12849</v>
      </c>
      <c r="G210" s="1"/>
      <c r="I210" s="1"/>
    </row>
    <row r="211" spans="1:9">
      <c r="A211" s="725" t="s">
        <v>827</v>
      </c>
      <c r="B211" s="725" t="s">
        <v>13032</v>
      </c>
      <c r="C211" s="1" t="s">
        <v>13033</v>
      </c>
      <c r="D211" s="7">
        <v>2332</v>
      </c>
      <c r="E211" s="723"/>
      <c r="F211" s="725" t="s">
        <v>12849</v>
      </c>
      <c r="G211" s="1"/>
      <c r="I211" s="1"/>
    </row>
    <row r="212" spans="1:9">
      <c r="A212" s="725" t="s">
        <v>828</v>
      </c>
      <c r="B212" s="725" t="s">
        <v>13034</v>
      </c>
      <c r="C212" s="1" t="s">
        <v>13035</v>
      </c>
      <c r="D212" s="7">
        <v>2237</v>
      </c>
      <c r="E212" s="723"/>
      <c r="F212" s="725" t="s">
        <v>12849</v>
      </c>
      <c r="G212" s="1"/>
      <c r="I212" s="1"/>
    </row>
    <row r="213" spans="1:9">
      <c r="A213" s="725" t="s">
        <v>829</v>
      </c>
      <c r="B213" s="725" t="s">
        <v>13036</v>
      </c>
      <c r="C213" s="1" t="s">
        <v>13037</v>
      </c>
      <c r="D213" s="7">
        <v>3654</v>
      </c>
      <c r="E213" s="723"/>
      <c r="F213" s="725" t="s">
        <v>12849</v>
      </c>
      <c r="G213" s="1"/>
      <c r="I213" s="1"/>
    </row>
    <row r="214" spans="1:9">
      <c r="A214" s="725" t="s">
        <v>830</v>
      </c>
      <c r="B214" s="725" t="s">
        <v>13038</v>
      </c>
      <c r="C214" s="1" t="s">
        <v>13039</v>
      </c>
      <c r="D214" s="7">
        <v>3156</v>
      </c>
      <c r="E214" s="723"/>
      <c r="F214" s="725" t="s">
        <v>12840</v>
      </c>
      <c r="G214" s="1"/>
      <c r="I214" s="1"/>
    </row>
    <row r="215" spans="1:9">
      <c r="A215" s="725" t="s">
        <v>831</v>
      </c>
      <c r="B215" s="725" t="s">
        <v>13040</v>
      </c>
      <c r="C215" s="1" t="s">
        <v>13041</v>
      </c>
      <c r="D215" s="7">
        <v>3032</v>
      </c>
      <c r="E215" s="723"/>
      <c r="F215" s="725" t="s">
        <v>12849</v>
      </c>
      <c r="G215" s="1"/>
      <c r="I215" s="1"/>
    </row>
    <row r="216" spans="1:9">
      <c r="A216" s="725" t="s">
        <v>832</v>
      </c>
      <c r="B216" s="725" t="s">
        <v>13042</v>
      </c>
      <c r="C216" s="1" t="s">
        <v>13043</v>
      </c>
      <c r="D216" s="7">
        <v>2021</v>
      </c>
      <c r="E216" s="723"/>
      <c r="F216" s="725" t="s">
        <v>12849</v>
      </c>
      <c r="G216" s="1"/>
      <c r="I216" s="1"/>
    </row>
    <row r="217" spans="1:9">
      <c r="A217" s="725" t="s">
        <v>833</v>
      </c>
      <c r="B217" s="725" t="s">
        <v>13044</v>
      </c>
      <c r="C217" s="1" t="s">
        <v>13045</v>
      </c>
      <c r="D217" s="7">
        <v>2845</v>
      </c>
      <c r="E217" s="723"/>
      <c r="F217" s="725" t="s">
        <v>12849</v>
      </c>
      <c r="G217" s="1"/>
      <c r="I217" s="1"/>
    </row>
    <row r="218" spans="1:9">
      <c r="A218" s="725" t="s">
        <v>834</v>
      </c>
      <c r="B218" s="725" t="s">
        <v>13046</v>
      </c>
      <c r="C218" s="1" t="s">
        <v>13047</v>
      </c>
      <c r="D218" s="7">
        <v>2412</v>
      </c>
      <c r="E218" s="723"/>
      <c r="F218" s="725" t="s">
        <v>12849</v>
      </c>
      <c r="G218" s="1"/>
      <c r="I218" s="1"/>
    </row>
    <row r="219" spans="1:9">
      <c r="A219" s="725" t="s">
        <v>835</v>
      </c>
      <c r="B219" s="725" t="s">
        <v>303</v>
      </c>
      <c r="C219" s="1" t="s">
        <v>13048</v>
      </c>
      <c r="D219" s="7">
        <v>4146</v>
      </c>
      <c r="E219" s="723"/>
      <c r="F219" s="725" t="s">
        <v>12849</v>
      </c>
      <c r="G219" s="1"/>
      <c r="I219" s="1"/>
    </row>
    <row r="220" spans="1:9">
      <c r="A220" s="725" t="s">
        <v>836</v>
      </c>
      <c r="B220" s="725" t="s">
        <v>13049</v>
      </c>
      <c r="C220" s="1" t="s">
        <v>13050</v>
      </c>
      <c r="D220" s="8">
        <v>1200</v>
      </c>
      <c r="E220" s="723"/>
      <c r="F220" s="725" t="s">
        <v>12849</v>
      </c>
      <c r="G220" s="1"/>
      <c r="I220" s="1"/>
    </row>
    <row r="221" spans="1:9">
      <c r="A221" s="725" t="s">
        <v>837</v>
      </c>
      <c r="B221" s="725" t="s">
        <v>7913</v>
      </c>
      <c r="C221" s="1" t="s">
        <v>13051</v>
      </c>
      <c r="D221" s="8">
        <v>3639</v>
      </c>
      <c r="E221" s="723"/>
      <c r="F221" s="725" t="s">
        <v>12849</v>
      </c>
      <c r="G221" s="1"/>
      <c r="I221" s="1"/>
    </row>
    <row r="222" spans="1:9">
      <c r="A222" s="725" t="s">
        <v>838</v>
      </c>
      <c r="B222" s="725" t="s">
        <v>457</v>
      </c>
      <c r="C222" s="1" t="s">
        <v>13052</v>
      </c>
      <c r="D222" s="8">
        <v>3311</v>
      </c>
      <c r="E222" s="723"/>
      <c r="F222" s="725" t="s">
        <v>12840</v>
      </c>
      <c r="G222" s="1"/>
      <c r="I222" s="1"/>
    </row>
    <row r="223" spans="1:9">
      <c r="A223" s="725" t="s">
        <v>840</v>
      </c>
      <c r="B223" s="725" t="s">
        <v>13053</v>
      </c>
      <c r="C223" s="1" t="s">
        <v>13054</v>
      </c>
      <c r="D223" s="8">
        <v>1149</v>
      </c>
      <c r="E223" s="723"/>
      <c r="F223" s="725" t="s">
        <v>12849</v>
      </c>
      <c r="G223" s="1"/>
      <c r="I223" s="1"/>
    </row>
    <row r="224" spans="1:9">
      <c r="A224" s="725" t="s">
        <v>841</v>
      </c>
      <c r="B224" s="725" t="s">
        <v>13055</v>
      </c>
      <c r="C224" s="1" t="s">
        <v>13056</v>
      </c>
      <c r="D224" s="8">
        <v>2316</v>
      </c>
      <c r="E224" s="723"/>
      <c r="F224" s="725" t="s">
        <v>12849</v>
      </c>
      <c r="G224" s="1"/>
      <c r="I224" s="1"/>
    </row>
    <row r="225" spans="1:9">
      <c r="A225" s="725" t="s">
        <v>878</v>
      </c>
      <c r="B225" s="725" t="s">
        <v>13057</v>
      </c>
      <c r="C225" s="1" t="s">
        <v>13058</v>
      </c>
      <c r="D225" s="8">
        <v>3952</v>
      </c>
      <c r="E225" s="723"/>
      <c r="F225" s="725" t="s">
        <v>12849</v>
      </c>
      <c r="G225" s="1"/>
      <c r="I225" s="1"/>
    </row>
    <row r="226" spans="1:9">
      <c r="A226" s="723"/>
      <c r="B226" s="723"/>
      <c r="D226" s="732"/>
      <c r="E226" s="723"/>
      <c r="F226" s="723"/>
    </row>
    <row r="227" spans="1:9">
      <c r="A227" s="725" t="s">
        <v>12943</v>
      </c>
      <c r="B227" s="723"/>
      <c r="D227" s="732">
        <f>D214+D222</f>
        <v>6467</v>
      </c>
      <c r="E227" s="723"/>
      <c r="F227" s="723"/>
    </row>
    <row r="228" spans="1:9">
      <c r="A228" s="725" t="s">
        <v>13059</v>
      </c>
      <c r="D228" s="726">
        <f>SUM(D205:D213)+SUM(D215:D221)+SUM(D223:D225)</f>
        <v>52914</v>
      </c>
      <c r="E228" s="723"/>
      <c r="F228" s="723"/>
    </row>
    <row r="229" spans="1:9">
      <c r="A229" s="725"/>
      <c r="D229" s="726"/>
      <c r="E229" s="723"/>
      <c r="F229" s="723"/>
    </row>
    <row r="230" spans="1:9">
      <c r="A230" s="725" t="s">
        <v>13060</v>
      </c>
      <c r="D230" s="726"/>
      <c r="E230" s="723"/>
      <c r="F230" s="723"/>
    </row>
    <row r="231" spans="1:9">
      <c r="A231" s="725"/>
      <c r="B231" s="725"/>
      <c r="D231" s="736"/>
      <c r="E231" s="723"/>
      <c r="F231" s="723"/>
    </row>
    <row r="232" spans="1:9">
      <c r="A232" s="725"/>
      <c r="B232" s="725"/>
      <c r="D232" s="736"/>
      <c r="E232" s="723"/>
      <c r="F232" s="723"/>
    </row>
    <row r="233" spans="1:9">
      <c r="A233" s="723"/>
      <c r="B233" s="723"/>
      <c r="D233" s="10" t="s">
        <v>285</v>
      </c>
      <c r="E233" s="38"/>
      <c r="F233" s="38" t="s">
        <v>4116</v>
      </c>
    </row>
    <row r="234" spans="1:9">
      <c r="A234" s="723"/>
      <c r="B234" s="723"/>
      <c r="D234" s="39">
        <v>2016</v>
      </c>
      <c r="E234" s="723"/>
      <c r="F234" s="41" t="s">
        <v>286</v>
      </c>
    </row>
    <row r="235" spans="1:9">
      <c r="A235" s="725" t="s">
        <v>13061</v>
      </c>
      <c r="D235" s="726">
        <f t="shared" ref="D235" si="40">SUM(D236:D251)</f>
        <v>59715</v>
      </c>
      <c r="E235" s="723"/>
      <c r="F235" s="723"/>
    </row>
    <row r="236" spans="1:9">
      <c r="A236" s="725" t="s">
        <v>812</v>
      </c>
      <c r="B236" s="725" t="s">
        <v>13062</v>
      </c>
      <c r="C236" s="1" t="s">
        <v>13063</v>
      </c>
      <c r="D236" s="13">
        <v>3982</v>
      </c>
      <c r="E236" s="723"/>
      <c r="F236" s="725" t="s">
        <v>12833</v>
      </c>
      <c r="G236" s="1"/>
      <c r="I236" s="1"/>
    </row>
    <row r="237" spans="1:9">
      <c r="A237" s="725" t="s">
        <v>813</v>
      </c>
      <c r="B237" s="725" t="s">
        <v>6954</v>
      </c>
      <c r="C237" s="1" t="s">
        <v>13064</v>
      </c>
      <c r="D237" s="13">
        <v>3233</v>
      </c>
      <c r="E237" s="723"/>
      <c r="F237" s="725" t="s">
        <v>12833</v>
      </c>
      <c r="G237" s="1"/>
      <c r="I237" s="1"/>
    </row>
    <row r="238" spans="1:9">
      <c r="A238" s="725" t="s">
        <v>814</v>
      </c>
      <c r="B238" s="725" t="s">
        <v>13065</v>
      </c>
      <c r="C238" s="1" t="s">
        <v>13066</v>
      </c>
      <c r="D238" s="13">
        <v>3333</v>
      </c>
      <c r="E238" s="723"/>
      <c r="F238" s="725" t="s">
        <v>12833</v>
      </c>
      <c r="G238" s="1"/>
      <c r="I238" s="1"/>
    </row>
    <row r="239" spans="1:9">
      <c r="A239" s="725" t="s">
        <v>815</v>
      </c>
      <c r="B239" s="725" t="s">
        <v>888</v>
      </c>
      <c r="C239" s="1" t="s">
        <v>13067</v>
      </c>
      <c r="D239" s="13">
        <v>3596</v>
      </c>
      <c r="E239" s="723"/>
      <c r="F239" s="725" t="s">
        <v>12833</v>
      </c>
      <c r="G239" s="1"/>
      <c r="I239" s="1"/>
    </row>
    <row r="240" spans="1:9">
      <c r="A240" s="725" t="s">
        <v>816</v>
      </c>
      <c r="B240" s="725" t="s">
        <v>12428</v>
      </c>
      <c r="C240" s="1" t="s">
        <v>13068</v>
      </c>
      <c r="D240" s="13">
        <v>3260</v>
      </c>
      <c r="E240" s="723"/>
      <c r="F240" s="725" t="s">
        <v>12833</v>
      </c>
      <c r="G240" s="1"/>
      <c r="I240" s="1"/>
    </row>
    <row r="241" spans="1:9">
      <c r="A241" s="725" t="s">
        <v>826</v>
      </c>
      <c r="B241" s="725" t="s">
        <v>13069</v>
      </c>
      <c r="C241" s="1" t="s">
        <v>13070</v>
      </c>
      <c r="D241" s="13">
        <v>3547</v>
      </c>
      <c r="E241" s="723"/>
      <c r="F241" s="725" t="s">
        <v>12833</v>
      </c>
      <c r="G241" s="1"/>
      <c r="I241" s="1"/>
    </row>
    <row r="242" spans="1:9">
      <c r="A242" s="725" t="s">
        <v>827</v>
      </c>
      <c r="B242" s="725" t="s">
        <v>13071</v>
      </c>
      <c r="C242" s="1" t="s">
        <v>13072</v>
      </c>
      <c r="D242" s="13">
        <v>3569</v>
      </c>
      <c r="E242" s="723"/>
      <c r="F242" s="725" t="s">
        <v>12833</v>
      </c>
      <c r="G242" s="1"/>
      <c r="I242" s="1"/>
    </row>
    <row r="243" spans="1:9">
      <c r="A243" s="725" t="s">
        <v>828</v>
      </c>
      <c r="B243" s="725" t="s">
        <v>13073</v>
      </c>
      <c r="C243" s="1" t="s">
        <v>13074</v>
      </c>
      <c r="D243" s="13">
        <v>3508</v>
      </c>
      <c r="E243" s="723"/>
      <c r="F243" s="725" t="s">
        <v>12833</v>
      </c>
      <c r="G243" s="1"/>
      <c r="I243" s="1"/>
    </row>
    <row r="244" spans="1:9">
      <c r="A244" s="725" t="s">
        <v>829</v>
      </c>
      <c r="B244" s="725" t="s">
        <v>13075</v>
      </c>
      <c r="C244" s="1" t="s">
        <v>13076</v>
      </c>
      <c r="D244" s="13">
        <v>3485</v>
      </c>
      <c r="E244" s="723"/>
      <c r="F244" s="725" t="s">
        <v>12833</v>
      </c>
      <c r="G244" s="1"/>
      <c r="I244" s="1"/>
    </row>
    <row r="245" spans="1:9">
      <c r="A245" s="725" t="s">
        <v>830</v>
      </c>
      <c r="B245" s="725" t="s">
        <v>13077</v>
      </c>
      <c r="C245" s="1" t="s">
        <v>13078</v>
      </c>
      <c r="D245" s="13">
        <v>3239</v>
      </c>
      <c r="E245" s="723"/>
      <c r="F245" s="725" t="s">
        <v>12833</v>
      </c>
      <c r="G245" s="1"/>
      <c r="I245" s="1"/>
    </row>
    <row r="246" spans="1:9">
      <c r="A246" s="725" t="s">
        <v>831</v>
      </c>
      <c r="B246" s="725" t="s">
        <v>13079</v>
      </c>
      <c r="C246" s="1" t="s">
        <v>13080</v>
      </c>
      <c r="D246" s="13">
        <v>4964</v>
      </c>
      <c r="E246" s="723"/>
      <c r="F246" s="725" t="s">
        <v>12833</v>
      </c>
      <c r="G246" s="1"/>
      <c r="I246" s="1"/>
    </row>
    <row r="247" spans="1:9">
      <c r="A247" s="725" t="s">
        <v>832</v>
      </c>
      <c r="B247" s="725" t="s">
        <v>13081</v>
      </c>
      <c r="C247" s="1" t="s">
        <v>13082</v>
      </c>
      <c r="D247" s="13">
        <v>2999</v>
      </c>
      <c r="E247" s="723"/>
      <c r="F247" s="725" t="s">
        <v>12833</v>
      </c>
      <c r="G247" s="1"/>
      <c r="I247" s="1"/>
    </row>
    <row r="248" spans="1:9">
      <c r="A248" s="725" t="s">
        <v>833</v>
      </c>
      <c r="B248" s="725" t="s">
        <v>13083</v>
      </c>
      <c r="C248" s="1" t="s">
        <v>13084</v>
      </c>
      <c r="D248" s="13">
        <v>5093</v>
      </c>
      <c r="E248" s="723"/>
      <c r="F248" s="725" t="s">
        <v>12833</v>
      </c>
      <c r="G248" s="1"/>
      <c r="I248" s="1"/>
    </row>
    <row r="249" spans="1:9">
      <c r="A249" s="725" t="s">
        <v>834</v>
      </c>
      <c r="B249" s="725" t="s">
        <v>7667</v>
      </c>
      <c r="C249" s="1" t="s">
        <v>13085</v>
      </c>
      <c r="D249" s="13">
        <v>3357</v>
      </c>
      <c r="E249" s="723"/>
      <c r="F249" s="725" t="s">
        <v>12833</v>
      </c>
      <c r="G249" s="1"/>
      <c r="I249" s="1"/>
    </row>
    <row r="250" spans="1:9">
      <c r="A250" s="725" t="s">
        <v>835</v>
      </c>
      <c r="B250" s="725" t="s">
        <v>13086</v>
      </c>
      <c r="C250" s="1" t="s">
        <v>13087</v>
      </c>
      <c r="D250" s="13">
        <v>5076</v>
      </c>
      <c r="E250" s="723"/>
      <c r="F250" s="725" t="s">
        <v>12833</v>
      </c>
      <c r="G250" s="1"/>
      <c r="I250" s="1"/>
    </row>
    <row r="251" spans="1:9">
      <c r="A251" s="725" t="s">
        <v>836</v>
      </c>
      <c r="B251" s="725" t="s">
        <v>13088</v>
      </c>
      <c r="C251" s="1" t="s">
        <v>13089</v>
      </c>
      <c r="D251" s="13">
        <v>3474</v>
      </c>
      <c r="E251" s="723"/>
      <c r="F251" s="725" t="s">
        <v>12833</v>
      </c>
      <c r="G251" s="1"/>
      <c r="I251" s="1"/>
    </row>
    <row r="252" spans="1:9">
      <c r="A252" s="723"/>
      <c r="B252" s="723"/>
      <c r="D252" s="732"/>
      <c r="E252" s="723"/>
      <c r="F252" s="723"/>
    </row>
    <row r="253" spans="1:9">
      <c r="A253" s="725" t="s">
        <v>12975</v>
      </c>
      <c r="D253" s="726">
        <f t="shared" ref="D253" si="41">SUM(D236:D251)</f>
        <v>59715</v>
      </c>
      <c r="E253" s="723"/>
      <c r="F253" s="723"/>
    </row>
    <row r="254" spans="1:9">
      <c r="A254" s="725"/>
      <c r="D254" s="726"/>
      <c r="E254" s="723"/>
      <c r="F254" s="723"/>
    </row>
    <row r="255" spans="1:9">
      <c r="A255" s="725" t="s">
        <v>13090</v>
      </c>
      <c r="D255" s="726"/>
      <c r="E255" s="723"/>
      <c r="F255" s="723"/>
    </row>
    <row r="256" spans="1:9">
      <c r="B256" s="725"/>
      <c r="D256" s="736"/>
      <c r="E256" s="723"/>
      <c r="F256" s="723"/>
    </row>
    <row r="257" spans="1:9">
      <c r="A257" s="725"/>
      <c r="B257" s="725"/>
      <c r="D257" s="736"/>
      <c r="E257" s="723"/>
      <c r="F257" s="723"/>
    </row>
    <row r="258" spans="1:9">
      <c r="A258" s="723"/>
      <c r="B258" s="723"/>
      <c r="D258" s="10" t="s">
        <v>285</v>
      </c>
      <c r="E258" s="38"/>
      <c r="F258" s="38" t="s">
        <v>4116</v>
      </c>
    </row>
    <row r="259" spans="1:9">
      <c r="A259" s="723"/>
      <c r="B259" s="723"/>
      <c r="D259" s="39">
        <v>2016</v>
      </c>
      <c r="E259" s="723"/>
      <c r="F259" s="41" t="s">
        <v>286</v>
      </c>
    </row>
    <row r="260" spans="1:9">
      <c r="A260" s="725" t="s">
        <v>13091</v>
      </c>
      <c r="D260" s="726">
        <f t="shared" ref="D260" si="42">SUM(D261:D287)</f>
        <v>96357</v>
      </c>
      <c r="E260" s="723"/>
      <c r="F260" s="723"/>
    </row>
    <row r="261" spans="1:9">
      <c r="A261" s="725" t="s">
        <v>812</v>
      </c>
      <c r="B261" s="725" t="s">
        <v>13092</v>
      </c>
      <c r="C261" s="1" t="s">
        <v>13093</v>
      </c>
      <c r="D261" s="7">
        <v>5392</v>
      </c>
      <c r="E261" s="723"/>
      <c r="F261" s="725" t="s">
        <v>12851</v>
      </c>
      <c r="G261" s="1"/>
      <c r="I261" s="1"/>
    </row>
    <row r="262" spans="1:9">
      <c r="A262" s="725" t="s">
        <v>813</v>
      </c>
      <c r="B262" s="725" t="s">
        <v>13094</v>
      </c>
      <c r="C262" s="1" t="s">
        <v>13095</v>
      </c>
      <c r="D262" s="7">
        <v>5814</v>
      </c>
      <c r="E262" s="723"/>
      <c r="F262" s="725" t="s">
        <v>12851</v>
      </c>
      <c r="G262" s="1"/>
      <c r="I262" s="1"/>
    </row>
    <row r="263" spans="1:9">
      <c r="A263" s="725" t="s">
        <v>814</v>
      </c>
      <c r="B263" s="725" t="s">
        <v>13096</v>
      </c>
      <c r="C263" s="1" t="s">
        <v>13097</v>
      </c>
      <c r="D263" s="7">
        <v>4592</v>
      </c>
      <c r="E263" s="723"/>
      <c r="F263" s="725" t="s">
        <v>12851</v>
      </c>
      <c r="G263" s="1"/>
      <c r="I263" s="1"/>
    </row>
    <row r="264" spans="1:9">
      <c r="A264" s="725" t="s">
        <v>815</v>
      </c>
      <c r="B264" s="725" t="s">
        <v>13098</v>
      </c>
      <c r="C264" s="1" t="s">
        <v>13099</v>
      </c>
      <c r="D264" s="7">
        <v>4446</v>
      </c>
      <c r="E264" s="723"/>
      <c r="F264" s="725" t="s">
        <v>12853</v>
      </c>
      <c r="G264" s="1"/>
      <c r="I264" s="1"/>
    </row>
    <row r="265" spans="1:9">
      <c r="A265" s="725" t="s">
        <v>816</v>
      </c>
      <c r="B265" s="725" t="s">
        <v>883</v>
      </c>
      <c r="C265" s="1" t="s">
        <v>13100</v>
      </c>
      <c r="D265" s="7">
        <v>3455</v>
      </c>
      <c r="E265" s="723"/>
      <c r="F265" s="725" t="s">
        <v>12851</v>
      </c>
      <c r="G265" s="1"/>
      <c r="I265" s="1"/>
    </row>
    <row r="266" spans="1:9">
      <c r="A266" s="725" t="s">
        <v>826</v>
      </c>
      <c r="B266" s="725" t="s">
        <v>13101</v>
      </c>
      <c r="C266" s="1" t="s">
        <v>13102</v>
      </c>
      <c r="D266" s="7">
        <v>3276</v>
      </c>
      <c r="E266" s="723"/>
      <c r="F266" s="725" t="s">
        <v>12853</v>
      </c>
      <c r="G266" s="1"/>
      <c r="I266" s="1"/>
    </row>
    <row r="267" spans="1:9">
      <c r="A267" s="725" t="s">
        <v>827</v>
      </c>
      <c r="B267" s="725" t="s">
        <v>13103</v>
      </c>
      <c r="C267" s="1" t="s">
        <v>13104</v>
      </c>
      <c r="D267" s="7">
        <v>1947</v>
      </c>
      <c r="E267" s="723"/>
      <c r="F267" s="725" t="s">
        <v>12853</v>
      </c>
      <c r="G267" s="1"/>
      <c r="I267" s="1"/>
    </row>
    <row r="268" spans="1:9">
      <c r="A268" s="725" t="s">
        <v>828</v>
      </c>
      <c r="B268" s="725" t="s">
        <v>9116</v>
      </c>
      <c r="C268" s="1" t="s">
        <v>13105</v>
      </c>
      <c r="D268" s="7">
        <v>4759</v>
      </c>
      <c r="E268" s="723"/>
      <c r="F268" s="725" t="s">
        <v>12851</v>
      </c>
      <c r="G268" s="1"/>
      <c r="I268" s="1"/>
    </row>
    <row r="269" spans="1:9">
      <c r="A269" s="725" t="s">
        <v>829</v>
      </c>
      <c r="B269" s="725" t="s">
        <v>13106</v>
      </c>
      <c r="C269" s="1" t="s">
        <v>13107</v>
      </c>
      <c r="D269" s="7">
        <v>3268</v>
      </c>
      <c r="E269" s="723"/>
      <c r="F269" s="725" t="s">
        <v>12851</v>
      </c>
      <c r="G269" s="1"/>
      <c r="I269" s="1"/>
    </row>
    <row r="270" spans="1:9">
      <c r="A270" s="725" t="s">
        <v>830</v>
      </c>
      <c r="B270" s="725" t="s">
        <v>13108</v>
      </c>
      <c r="C270" s="1" t="s">
        <v>13109</v>
      </c>
      <c r="D270" s="8">
        <v>3058</v>
      </c>
      <c r="E270" s="723"/>
      <c r="F270" s="725" t="s">
        <v>12851</v>
      </c>
      <c r="G270" s="1"/>
      <c r="I270" s="1"/>
    </row>
    <row r="271" spans="1:9">
      <c r="A271" s="725" t="s">
        <v>831</v>
      </c>
      <c r="B271" s="725" t="s">
        <v>13110</v>
      </c>
      <c r="C271" s="1" t="s">
        <v>13111</v>
      </c>
      <c r="D271" s="8">
        <v>4790</v>
      </c>
      <c r="E271" s="723"/>
      <c r="F271" s="725" t="s">
        <v>12851</v>
      </c>
      <c r="G271" s="1"/>
      <c r="I271" s="1"/>
    </row>
    <row r="272" spans="1:9">
      <c r="A272" s="725" t="s">
        <v>832</v>
      </c>
      <c r="B272" s="725" t="s">
        <v>13112</v>
      </c>
      <c r="C272" s="1" t="s">
        <v>13113</v>
      </c>
      <c r="D272" s="7">
        <v>4796</v>
      </c>
      <c r="E272" s="723"/>
      <c r="F272" s="725" t="s">
        <v>12851</v>
      </c>
      <c r="G272" s="1"/>
      <c r="I272" s="1"/>
    </row>
    <row r="273" spans="1:9">
      <c r="A273" s="725" t="s">
        <v>833</v>
      </c>
      <c r="B273" s="725" t="s">
        <v>13114</v>
      </c>
      <c r="C273" s="1" t="s">
        <v>13115</v>
      </c>
      <c r="D273" s="8">
        <v>1639</v>
      </c>
      <c r="E273" s="723"/>
      <c r="F273" s="725" t="s">
        <v>12853</v>
      </c>
      <c r="G273" s="1"/>
      <c r="I273" s="1"/>
    </row>
    <row r="274" spans="1:9">
      <c r="A274" s="725" t="s">
        <v>834</v>
      </c>
      <c r="B274" s="725" t="s">
        <v>13116</v>
      </c>
      <c r="C274" s="1" t="s">
        <v>13117</v>
      </c>
      <c r="D274" s="7">
        <v>3525</v>
      </c>
      <c r="E274" s="723"/>
      <c r="F274" s="725" t="s">
        <v>12853</v>
      </c>
      <c r="G274" s="1"/>
      <c r="I274" s="1"/>
    </row>
    <row r="275" spans="1:9">
      <c r="A275" s="725" t="s">
        <v>835</v>
      </c>
      <c r="B275" s="725" t="s">
        <v>12035</v>
      </c>
      <c r="C275" s="1" t="s">
        <v>13118</v>
      </c>
      <c r="D275" s="7">
        <v>3276</v>
      </c>
      <c r="E275" s="723"/>
      <c r="F275" s="725" t="s">
        <v>12851</v>
      </c>
      <c r="G275" s="1"/>
      <c r="I275" s="1"/>
    </row>
    <row r="276" spans="1:9">
      <c r="A276" s="725" t="s">
        <v>836</v>
      </c>
      <c r="B276" s="725" t="s">
        <v>13079</v>
      </c>
      <c r="C276" s="1" t="s">
        <v>13119</v>
      </c>
      <c r="D276" s="8">
        <v>1672</v>
      </c>
      <c r="E276" s="723"/>
      <c r="F276" s="725" t="s">
        <v>12851</v>
      </c>
      <c r="G276" s="1"/>
      <c r="I276" s="1"/>
    </row>
    <row r="277" spans="1:9">
      <c r="A277" s="725" t="s">
        <v>837</v>
      </c>
      <c r="B277" s="725" t="s">
        <v>13120</v>
      </c>
      <c r="C277" s="1" t="s">
        <v>13121</v>
      </c>
      <c r="D277" s="8">
        <v>3255</v>
      </c>
      <c r="E277" s="723"/>
      <c r="F277" s="725" t="s">
        <v>12851</v>
      </c>
      <c r="G277" s="1"/>
      <c r="I277" s="1"/>
    </row>
    <row r="278" spans="1:9">
      <c r="A278" s="725" t="s">
        <v>838</v>
      </c>
      <c r="B278" s="725" t="s">
        <v>13122</v>
      </c>
      <c r="C278" s="1" t="s">
        <v>13123</v>
      </c>
      <c r="D278" s="7">
        <v>3221</v>
      </c>
      <c r="E278" s="723"/>
      <c r="F278" s="725" t="s">
        <v>12851</v>
      </c>
      <c r="G278" s="1"/>
      <c r="I278" s="1"/>
    </row>
    <row r="279" spans="1:9">
      <c r="A279" s="725" t="s">
        <v>840</v>
      </c>
      <c r="B279" s="725" t="s">
        <v>13124</v>
      </c>
      <c r="C279" s="1" t="s">
        <v>13125</v>
      </c>
      <c r="D279" s="7">
        <v>4868</v>
      </c>
      <c r="E279" s="723"/>
      <c r="F279" s="725" t="s">
        <v>12851</v>
      </c>
      <c r="G279" s="1"/>
      <c r="I279" s="1"/>
    </row>
    <row r="280" spans="1:9">
      <c r="A280" s="725" t="s">
        <v>841</v>
      </c>
      <c r="B280" s="725" t="s">
        <v>13126</v>
      </c>
      <c r="C280" s="1" t="s">
        <v>13127</v>
      </c>
      <c r="D280" s="8">
        <v>1616</v>
      </c>
      <c r="E280" s="723"/>
      <c r="F280" s="725" t="s">
        <v>12853</v>
      </c>
      <c r="G280" s="1"/>
      <c r="I280" s="1"/>
    </row>
    <row r="281" spans="1:9">
      <c r="A281" s="725" t="s">
        <v>878</v>
      </c>
      <c r="B281" s="725" t="s">
        <v>13128</v>
      </c>
      <c r="C281" s="1" t="s">
        <v>13129</v>
      </c>
      <c r="D281" s="8">
        <v>4520</v>
      </c>
      <c r="E281" s="723"/>
      <c r="F281" s="725" t="s">
        <v>12851</v>
      </c>
      <c r="G281" s="1"/>
      <c r="I281" s="1"/>
    </row>
    <row r="282" spans="1:9">
      <c r="A282" s="725" t="s">
        <v>879</v>
      </c>
      <c r="B282" s="725" t="s">
        <v>13130</v>
      </c>
      <c r="C282" s="1" t="s">
        <v>13131</v>
      </c>
      <c r="D282" s="8">
        <v>4879</v>
      </c>
      <c r="E282" s="723"/>
      <c r="F282" s="725" t="s">
        <v>12851</v>
      </c>
      <c r="G282" s="1"/>
      <c r="I282" s="1"/>
    </row>
    <row r="283" spans="1:9">
      <c r="A283" s="725" t="s">
        <v>880</v>
      </c>
      <c r="B283" s="725" t="s">
        <v>13132</v>
      </c>
      <c r="C283" s="1" t="s">
        <v>13133</v>
      </c>
      <c r="D283" s="8">
        <v>3535</v>
      </c>
      <c r="E283" s="723"/>
      <c r="F283" s="725" t="s">
        <v>12851</v>
      </c>
      <c r="G283" s="1"/>
      <c r="I283" s="1"/>
    </row>
    <row r="284" spans="1:9">
      <c r="A284" s="725" t="s">
        <v>721</v>
      </c>
      <c r="B284" s="725" t="s">
        <v>13134</v>
      </c>
      <c r="C284" s="1" t="s">
        <v>13135</v>
      </c>
      <c r="D284" s="7">
        <v>2065</v>
      </c>
      <c r="E284" s="723"/>
      <c r="F284" s="725" t="s">
        <v>12853</v>
      </c>
      <c r="G284" s="1"/>
      <c r="I284" s="1"/>
    </row>
    <row r="285" spans="1:9">
      <c r="A285" s="725" t="s">
        <v>722</v>
      </c>
      <c r="B285" s="725" t="s">
        <v>13136</v>
      </c>
      <c r="C285" s="1" t="s">
        <v>13137</v>
      </c>
      <c r="D285" s="8">
        <v>1878</v>
      </c>
      <c r="E285" s="723"/>
      <c r="F285" s="725" t="s">
        <v>12853</v>
      </c>
      <c r="G285" s="1"/>
      <c r="I285" s="1"/>
    </row>
    <row r="286" spans="1:9">
      <c r="A286" s="725" t="s">
        <v>723</v>
      </c>
      <c r="B286" s="725" t="s">
        <v>13138</v>
      </c>
      <c r="C286" s="1" t="s">
        <v>13139</v>
      </c>
      <c r="D286" s="8">
        <v>1604</v>
      </c>
      <c r="E286" s="723"/>
      <c r="F286" s="725" t="s">
        <v>12853</v>
      </c>
      <c r="G286" s="1"/>
      <c r="I286" s="1"/>
    </row>
    <row r="287" spans="1:9">
      <c r="A287" s="725" t="s">
        <v>733</v>
      </c>
      <c r="B287" s="725" t="s">
        <v>543</v>
      </c>
      <c r="C287" s="1" t="s">
        <v>13140</v>
      </c>
      <c r="D287" s="8">
        <v>5211</v>
      </c>
      <c r="E287" s="723"/>
      <c r="F287" s="725" t="s">
        <v>12851</v>
      </c>
      <c r="G287" s="1"/>
      <c r="I287" s="1"/>
    </row>
    <row r="288" spans="1:9">
      <c r="A288" s="723"/>
      <c r="B288" s="723"/>
      <c r="D288" s="732"/>
      <c r="E288" s="723"/>
      <c r="F288" s="723"/>
    </row>
    <row r="289" spans="1:9">
      <c r="A289" s="725" t="s">
        <v>12851</v>
      </c>
      <c r="D289" s="726">
        <f>SUM(D261:D263)+D265+SUM(D268:D272)+SUM(D275:D279)+SUM(D281:D283)+D287</f>
        <v>74361</v>
      </c>
      <c r="E289" s="723"/>
      <c r="F289" s="723"/>
    </row>
    <row r="290" spans="1:9">
      <c r="A290" s="725" t="s">
        <v>13141</v>
      </c>
      <c r="D290" s="726">
        <f>D264+D266+D267+D273+D274+D280+SUM(D284:D286)</f>
        <v>21996</v>
      </c>
      <c r="E290" s="723"/>
      <c r="F290" s="723"/>
    </row>
    <row r="291" spans="1:9">
      <c r="A291" s="725"/>
      <c r="D291" s="726"/>
      <c r="E291" s="723"/>
      <c r="F291" s="723"/>
    </row>
    <row r="292" spans="1:9">
      <c r="A292" s="725" t="s">
        <v>13142</v>
      </c>
      <c r="D292" s="726"/>
      <c r="E292" s="723"/>
      <c r="F292" s="723"/>
    </row>
    <row r="293" spans="1:9">
      <c r="A293" s="725"/>
      <c r="B293" s="725"/>
      <c r="D293" s="736"/>
      <c r="E293" s="723"/>
      <c r="F293" s="723"/>
    </row>
    <row r="294" spans="1:9">
      <c r="A294" s="725"/>
      <c r="B294" s="725"/>
      <c r="D294" s="736"/>
      <c r="E294" s="723"/>
      <c r="F294" s="723"/>
    </row>
    <row r="295" spans="1:9">
      <c r="A295" s="723"/>
      <c r="B295" s="723"/>
      <c r="D295" s="10" t="s">
        <v>285</v>
      </c>
      <c r="E295" s="38"/>
      <c r="F295" s="38" t="s">
        <v>4116</v>
      </c>
    </row>
    <row r="296" spans="1:9">
      <c r="A296" s="723"/>
      <c r="B296" s="723"/>
      <c r="D296" s="39">
        <v>2016</v>
      </c>
      <c r="E296" s="723"/>
      <c r="F296" s="41" t="s">
        <v>286</v>
      </c>
    </row>
    <row r="297" spans="1:9">
      <c r="A297" s="725" t="s">
        <v>13143</v>
      </c>
      <c r="D297" s="726">
        <f t="shared" ref="D297" si="43">SUM(D298:D317)</f>
        <v>62891</v>
      </c>
      <c r="E297" s="723"/>
      <c r="F297" s="723"/>
    </row>
    <row r="298" spans="1:9">
      <c r="A298" s="725" t="s">
        <v>812</v>
      </c>
      <c r="B298" s="725" t="s">
        <v>13144</v>
      </c>
      <c r="C298" s="1" t="s">
        <v>13145</v>
      </c>
      <c r="D298" s="7">
        <v>3823</v>
      </c>
      <c r="E298" s="723"/>
      <c r="F298" s="725" t="s">
        <v>12846</v>
      </c>
      <c r="G298" s="1"/>
      <c r="I298" s="1"/>
    </row>
    <row r="299" spans="1:9">
      <c r="A299" s="725" t="s">
        <v>813</v>
      </c>
      <c r="B299" s="725" t="s">
        <v>13146</v>
      </c>
      <c r="C299" s="1" t="s">
        <v>13147</v>
      </c>
      <c r="D299" s="7">
        <v>1424</v>
      </c>
      <c r="E299" s="723"/>
      <c r="F299" s="725" t="s">
        <v>12846</v>
      </c>
      <c r="G299" s="1"/>
      <c r="I299" s="1"/>
    </row>
    <row r="300" spans="1:9">
      <c r="A300" s="725" t="s">
        <v>814</v>
      </c>
      <c r="B300" s="725" t="s">
        <v>13148</v>
      </c>
      <c r="C300" s="1" t="s">
        <v>13149</v>
      </c>
      <c r="D300" s="7">
        <v>4071</v>
      </c>
      <c r="E300" s="723"/>
      <c r="F300" s="725" t="s">
        <v>12846</v>
      </c>
      <c r="G300" s="1"/>
      <c r="I300" s="1"/>
    </row>
    <row r="301" spans="1:9">
      <c r="A301" s="725" t="s">
        <v>815</v>
      </c>
      <c r="B301" s="725" t="s">
        <v>870</v>
      </c>
      <c r="C301" s="1" t="s">
        <v>13150</v>
      </c>
      <c r="D301" s="7">
        <v>4022</v>
      </c>
      <c r="E301" s="723"/>
      <c r="F301" s="725" t="s">
        <v>12842</v>
      </c>
      <c r="G301" s="1"/>
      <c r="I301" s="1"/>
    </row>
    <row r="302" spans="1:9">
      <c r="A302" s="725" t="s">
        <v>816</v>
      </c>
      <c r="B302" s="725" t="s">
        <v>13151</v>
      </c>
      <c r="C302" s="1" t="s">
        <v>13152</v>
      </c>
      <c r="D302" s="7">
        <v>3486</v>
      </c>
      <c r="E302" s="723"/>
      <c r="F302" s="725" t="s">
        <v>12842</v>
      </c>
      <c r="G302" s="1"/>
      <c r="I302" s="1"/>
    </row>
    <row r="303" spans="1:9">
      <c r="A303" s="725" t="s">
        <v>826</v>
      </c>
      <c r="B303" s="725" t="s">
        <v>13153</v>
      </c>
      <c r="C303" s="1" t="s">
        <v>13154</v>
      </c>
      <c r="D303" s="7">
        <v>3336</v>
      </c>
      <c r="E303" s="723"/>
      <c r="F303" s="725" t="s">
        <v>12842</v>
      </c>
      <c r="G303" s="1"/>
      <c r="I303" s="1"/>
    </row>
    <row r="304" spans="1:9">
      <c r="A304" s="725" t="s">
        <v>827</v>
      </c>
      <c r="B304" s="725" t="s">
        <v>13155</v>
      </c>
      <c r="C304" s="1" t="s">
        <v>13156</v>
      </c>
      <c r="D304" s="7">
        <v>3984</v>
      </c>
      <c r="E304" s="723"/>
      <c r="F304" s="725" t="s">
        <v>12846</v>
      </c>
      <c r="G304" s="1"/>
      <c r="I304" s="1"/>
    </row>
    <row r="305" spans="1:9">
      <c r="A305" s="725" t="s">
        <v>828</v>
      </c>
      <c r="B305" s="725" t="s">
        <v>10576</v>
      </c>
      <c r="C305" s="1" t="s">
        <v>13157</v>
      </c>
      <c r="D305" s="7">
        <v>4073</v>
      </c>
      <c r="E305" s="723"/>
      <c r="F305" s="725" t="s">
        <v>12846</v>
      </c>
      <c r="G305" s="1"/>
      <c r="I305" s="1"/>
    </row>
    <row r="306" spans="1:9">
      <c r="A306" s="725" t="s">
        <v>829</v>
      </c>
      <c r="B306" s="725" t="s">
        <v>13158</v>
      </c>
      <c r="C306" s="1" t="s">
        <v>13159</v>
      </c>
      <c r="D306" s="7">
        <v>4605</v>
      </c>
      <c r="E306" s="723"/>
      <c r="F306" s="725" t="s">
        <v>12846</v>
      </c>
      <c r="G306" s="1"/>
      <c r="I306" s="1"/>
    </row>
    <row r="307" spans="1:9">
      <c r="A307" s="725" t="s">
        <v>830</v>
      </c>
      <c r="B307" s="725" t="s">
        <v>13160</v>
      </c>
      <c r="C307" s="1" t="s">
        <v>13161</v>
      </c>
      <c r="D307" s="7">
        <v>1299</v>
      </c>
      <c r="E307" s="723"/>
      <c r="F307" s="725" t="s">
        <v>12846</v>
      </c>
      <c r="G307" s="1"/>
      <c r="I307" s="1"/>
    </row>
    <row r="308" spans="1:9">
      <c r="A308" s="725" t="s">
        <v>831</v>
      </c>
      <c r="B308" s="725" t="s">
        <v>13162</v>
      </c>
      <c r="C308" s="1" t="s">
        <v>13163</v>
      </c>
      <c r="D308" s="7">
        <v>1414</v>
      </c>
      <c r="E308" s="723"/>
      <c r="F308" s="725" t="s">
        <v>12846</v>
      </c>
      <c r="G308" s="1"/>
      <c r="I308" s="1"/>
    </row>
    <row r="309" spans="1:9">
      <c r="A309" s="725" t="s">
        <v>832</v>
      </c>
      <c r="B309" s="725" t="s">
        <v>13164</v>
      </c>
      <c r="C309" s="1" t="s">
        <v>13165</v>
      </c>
      <c r="D309" s="7">
        <v>3668</v>
      </c>
      <c r="E309" s="723"/>
      <c r="F309" s="725" t="s">
        <v>12846</v>
      </c>
      <c r="G309" s="1"/>
      <c r="I309" s="1"/>
    </row>
    <row r="310" spans="1:9">
      <c r="A310" s="725" t="s">
        <v>833</v>
      </c>
      <c r="B310" s="725" t="s">
        <v>13166</v>
      </c>
      <c r="C310" s="1" t="s">
        <v>13167</v>
      </c>
      <c r="D310" s="7">
        <v>2386</v>
      </c>
      <c r="E310" s="723"/>
      <c r="F310" s="725" t="s">
        <v>12842</v>
      </c>
      <c r="G310" s="1"/>
      <c r="I310" s="1"/>
    </row>
    <row r="311" spans="1:9">
      <c r="A311" s="725" t="s">
        <v>834</v>
      </c>
      <c r="B311" s="725" t="s">
        <v>13168</v>
      </c>
      <c r="C311" s="1" t="s">
        <v>13169</v>
      </c>
      <c r="D311" s="7">
        <v>1225</v>
      </c>
      <c r="E311" s="723"/>
      <c r="F311" s="725" t="s">
        <v>12846</v>
      </c>
      <c r="G311" s="1"/>
      <c r="I311" s="1"/>
    </row>
    <row r="312" spans="1:9">
      <c r="A312" s="725" t="s">
        <v>835</v>
      </c>
      <c r="B312" s="725" t="s">
        <v>13170</v>
      </c>
      <c r="C312" s="1" t="s">
        <v>13171</v>
      </c>
      <c r="D312" s="7">
        <v>4178</v>
      </c>
      <c r="E312" s="723"/>
      <c r="F312" s="725" t="s">
        <v>12842</v>
      </c>
      <c r="G312" s="1"/>
      <c r="I312" s="1"/>
    </row>
    <row r="313" spans="1:9">
      <c r="A313" s="725" t="s">
        <v>836</v>
      </c>
      <c r="B313" s="725" t="s">
        <v>9600</v>
      </c>
      <c r="C313" s="1" t="s">
        <v>13172</v>
      </c>
      <c r="D313" s="8">
        <v>3468</v>
      </c>
      <c r="E313" s="723"/>
      <c r="F313" s="725" t="s">
        <v>12842</v>
      </c>
      <c r="G313" s="1"/>
      <c r="I313" s="1"/>
    </row>
    <row r="314" spans="1:9">
      <c r="A314" s="725" t="s">
        <v>837</v>
      </c>
      <c r="B314" s="725" t="s">
        <v>13173</v>
      </c>
      <c r="C314" s="1" t="s">
        <v>13174</v>
      </c>
      <c r="D314" s="8">
        <v>4028</v>
      </c>
      <c r="E314" s="723"/>
      <c r="F314" s="725" t="s">
        <v>12846</v>
      </c>
      <c r="G314" s="1"/>
      <c r="I314" s="1"/>
    </row>
    <row r="315" spans="1:9">
      <c r="A315" s="725" t="s">
        <v>838</v>
      </c>
      <c r="B315" s="725" t="s">
        <v>13175</v>
      </c>
      <c r="C315" s="1" t="s">
        <v>13176</v>
      </c>
      <c r="D315" s="8">
        <v>2485</v>
      </c>
      <c r="E315" s="723"/>
      <c r="F315" s="725" t="s">
        <v>12842</v>
      </c>
      <c r="G315" s="1"/>
      <c r="I315" s="1"/>
    </row>
    <row r="316" spans="1:9">
      <c r="A316" s="725" t="s">
        <v>840</v>
      </c>
      <c r="B316" s="725" t="s">
        <v>8684</v>
      </c>
      <c r="C316" s="1" t="s">
        <v>13177</v>
      </c>
      <c r="D316" s="8">
        <v>3574</v>
      </c>
      <c r="E316" s="723"/>
      <c r="F316" s="725" t="s">
        <v>12846</v>
      </c>
      <c r="G316" s="1"/>
      <c r="I316" s="1"/>
    </row>
    <row r="317" spans="1:9">
      <c r="A317" s="734">
        <v>20</v>
      </c>
      <c r="B317" s="725" t="s">
        <v>13178</v>
      </c>
      <c r="C317" s="1" t="s">
        <v>13179</v>
      </c>
      <c r="D317" s="8">
        <v>2342</v>
      </c>
      <c r="E317" s="723"/>
      <c r="F317" s="725" t="s">
        <v>12842</v>
      </c>
      <c r="G317" s="1"/>
      <c r="I317" s="1"/>
    </row>
    <row r="318" spans="1:9">
      <c r="A318" s="723"/>
      <c r="B318" s="723"/>
      <c r="D318" s="732"/>
      <c r="E318" s="723"/>
      <c r="F318" s="723"/>
    </row>
    <row r="319" spans="1:9">
      <c r="A319" s="725" t="s">
        <v>12976</v>
      </c>
      <c r="B319" s="723"/>
      <c r="D319" s="732">
        <f>SUM(D301:D303)+D310+D312+D313+D315+D317</f>
        <v>25703</v>
      </c>
      <c r="E319" s="723"/>
      <c r="F319" s="723"/>
    </row>
    <row r="320" spans="1:9">
      <c r="A320" s="725" t="s">
        <v>13180</v>
      </c>
      <c r="D320" s="726">
        <f>SUM(D298:D300)+SUM(D304:D309)+D311+D314+D316</f>
        <v>37188</v>
      </c>
      <c r="E320" s="723"/>
      <c r="F320" s="723"/>
    </row>
    <row r="321" spans="1:9">
      <c r="A321" s="725"/>
      <c r="D321" s="726"/>
      <c r="E321" s="723"/>
      <c r="F321" s="723"/>
    </row>
    <row r="322" spans="1:9">
      <c r="A322" s="725" t="s">
        <v>13181</v>
      </c>
      <c r="D322" s="726"/>
      <c r="E322" s="723"/>
      <c r="F322" s="723"/>
    </row>
    <row r="323" spans="1:9">
      <c r="A323" s="725" t="s">
        <v>13182</v>
      </c>
      <c r="D323" s="726"/>
      <c r="E323" s="723"/>
      <c r="F323" s="723"/>
    </row>
    <row r="324" spans="1:9">
      <c r="A324" s="725"/>
      <c r="B324" s="725"/>
      <c r="D324" s="736"/>
      <c r="E324" s="723"/>
      <c r="F324" s="723"/>
    </row>
    <row r="325" spans="1:9">
      <c r="A325" s="725"/>
      <c r="B325" s="725"/>
      <c r="D325" s="736"/>
      <c r="E325" s="723"/>
      <c r="F325" s="723"/>
    </row>
    <row r="326" spans="1:9">
      <c r="A326" s="723"/>
      <c r="B326" s="723"/>
      <c r="D326" s="10" t="s">
        <v>285</v>
      </c>
      <c r="E326" s="38"/>
      <c r="F326" s="38" t="s">
        <v>4116</v>
      </c>
    </row>
    <row r="327" spans="1:9">
      <c r="A327" s="723"/>
      <c r="B327" s="723"/>
      <c r="D327" s="39">
        <v>2016</v>
      </c>
      <c r="E327" s="723"/>
      <c r="F327" s="41" t="s">
        <v>286</v>
      </c>
    </row>
    <row r="328" spans="1:9">
      <c r="A328" s="725" t="s">
        <v>13183</v>
      </c>
      <c r="D328" s="726">
        <f>SUM(D329:D350)</f>
        <v>90766</v>
      </c>
      <c r="E328" s="723"/>
      <c r="F328" s="723"/>
    </row>
    <row r="329" spans="1:9">
      <c r="A329" s="725" t="s">
        <v>812</v>
      </c>
      <c r="B329" s="725" t="s">
        <v>12770</v>
      </c>
      <c r="C329" s="1" t="s">
        <v>13184</v>
      </c>
      <c r="D329" s="7">
        <v>2993</v>
      </c>
      <c r="E329" s="723"/>
      <c r="F329" s="725" t="s">
        <v>12854</v>
      </c>
      <c r="G329" s="1"/>
      <c r="I329" s="1"/>
    </row>
    <row r="330" spans="1:9">
      <c r="A330" s="725" t="s">
        <v>813</v>
      </c>
      <c r="B330" s="725" t="s">
        <v>13185</v>
      </c>
      <c r="C330" s="1" t="s">
        <v>13186</v>
      </c>
      <c r="D330" s="7">
        <v>5003</v>
      </c>
      <c r="E330" s="723"/>
      <c r="F330" s="725" t="s">
        <v>12854</v>
      </c>
      <c r="G330" s="1"/>
      <c r="I330" s="1"/>
    </row>
    <row r="331" spans="1:9">
      <c r="A331" s="725" t="s">
        <v>814</v>
      </c>
      <c r="B331" s="725" t="s">
        <v>13187</v>
      </c>
      <c r="C331" s="1" t="s">
        <v>13188</v>
      </c>
      <c r="D331" s="8">
        <v>3582</v>
      </c>
      <c r="E331" s="723"/>
      <c r="F331" s="725" t="s">
        <v>12854</v>
      </c>
      <c r="G331" s="1"/>
      <c r="I331" s="1"/>
    </row>
    <row r="332" spans="1:9">
      <c r="A332" s="725" t="s">
        <v>815</v>
      </c>
      <c r="B332" s="725" t="s">
        <v>246</v>
      </c>
      <c r="C332" s="1" t="s">
        <v>13189</v>
      </c>
      <c r="D332" s="8">
        <v>2700</v>
      </c>
      <c r="E332" s="723"/>
      <c r="F332" s="725" t="s">
        <v>12854</v>
      </c>
      <c r="G332" s="1"/>
      <c r="I332" s="1"/>
    </row>
    <row r="333" spans="1:9">
      <c r="A333" s="725" t="s">
        <v>816</v>
      </c>
      <c r="B333" s="725" t="s">
        <v>13190</v>
      </c>
      <c r="C333" s="1" t="s">
        <v>13191</v>
      </c>
      <c r="D333" s="7">
        <v>3595</v>
      </c>
      <c r="E333" s="723"/>
      <c r="F333" s="725" t="s">
        <v>12854</v>
      </c>
      <c r="G333" s="1"/>
      <c r="I333" s="1"/>
    </row>
    <row r="334" spans="1:9">
      <c r="A334" s="725" t="s">
        <v>826</v>
      </c>
      <c r="B334" s="725" t="s">
        <v>13192</v>
      </c>
      <c r="C334" s="1" t="s">
        <v>13193</v>
      </c>
      <c r="D334" s="7">
        <v>3260</v>
      </c>
      <c r="E334" s="723"/>
      <c r="F334" s="725" t="s">
        <v>12854</v>
      </c>
      <c r="G334" s="1"/>
      <c r="I334" s="1"/>
    </row>
    <row r="335" spans="1:9">
      <c r="A335" s="725" t="s">
        <v>827</v>
      </c>
      <c r="B335" s="725" t="s">
        <v>13194</v>
      </c>
      <c r="C335" s="1" t="s">
        <v>13195</v>
      </c>
      <c r="D335" s="8">
        <v>5282</v>
      </c>
      <c r="E335" s="723"/>
      <c r="F335" s="725" t="s">
        <v>12854</v>
      </c>
      <c r="G335" s="1"/>
      <c r="I335" s="1"/>
    </row>
    <row r="336" spans="1:9">
      <c r="A336" s="725" t="s">
        <v>828</v>
      </c>
      <c r="B336" s="725" t="s">
        <v>2430</v>
      </c>
      <c r="C336" s="1" t="s">
        <v>13196</v>
      </c>
      <c r="D336" s="8">
        <v>5188</v>
      </c>
      <c r="E336" s="723"/>
      <c r="F336" s="725" t="s">
        <v>12854</v>
      </c>
      <c r="G336" s="1"/>
      <c r="I336" s="1"/>
    </row>
    <row r="337" spans="1:9">
      <c r="A337" s="725" t="s">
        <v>829</v>
      </c>
      <c r="B337" s="725" t="s">
        <v>13197</v>
      </c>
      <c r="C337" s="1" t="s">
        <v>13198</v>
      </c>
      <c r="D337" s="7">
        <v>5038</v>
      </c>
      <c r="E337" s="723"/>
      <c r="F337" s="725" t="s">
        <v>12854</v>
      </c>
      <c r="G337" s="1"/>
      <c r="I337" s="1"/>
    </row>
    <row r="338" spans="1:9">
      <c r="A338" s="725" t="s">
        <v>830</v>
      </c>
      <c r="B338" s="725" t="s">
        <v>13199</v>
      </c>
      <c r="C338" s="1" t="s">
        <v>13200</v>
      </c>
      <c r="D338" s="7">
        <v>5410</v>
      </c>
      <c r="E338" s="723"/>
      <c r="F338" s="725" t="s">
        <v>12854</v>
      </c>
      <c r="G338" s="1"/>
      <c r="I338" s="1"/>
    </row>
    <row r="339" spans="1:9">
      <c r="A339" s="725" t="s">
        <v>831</v>
      </c>
      <c r="B339" s="725" t="s">
        <v>5259</v>
      </c>
      <c r="C339" s="1" t="s">
        <v>13201</v>
      </c>
      <c r="D339" s="7">
        <v>4562</v>
      </c>
      <c r="E339" s="723"/>
      <c r="F339" s="725" t="s">
        <v>12849</v>
      </c>
      <c r="G339" s="1"/>
      <c r="I339" s="1"/>
    </row>
    <row r="340" spans="1:9">
      <c r="A340" s="725" t="s">
        <v>832</v>
      </c>
      <c r="B340" s="725" t="s">
        <v>13202</v>
      </c>
      <c r="C340" s="1" t="s">
        <v>13203</v>
      </c>
      <c r="D340" s="7">
        <v>2830</v>
      </c>
      <c r="E340" s="723"/>
      <c r="F340" s="725" t="s">
        <v>12854</v>
      </c>
      <c r="G340" s="1"/>
      <c r="I340" s="1"/>
    </row>
    <row r="341" spans="1:9">
      <c r="A341" s="725" t="s">
        <v>833</v>
      </c>
      <c r="B341" s="725" t="s">
        <v>13204</v>
      </c>
      <c r="C341" s="1" t="s">
        <v>13205</v>
      </c>
      <c r="D341" s="7">
        <v>3552</v>
      </c>
      <c r="F341" s="725" t="s">
        <v>12853</v>
      </c>
      <c r="G341" s="1"/>
      <c r="I341" s="1"/>
    </row>
    <row r="342" spans="1:9">
      <c r="A342" s="725" t="s">
        <v>834</v>
      </c>
      <c r="B342" s="725" t="s">
        <v>13206</v>
      </c>
      <c r="C342" s="1" t="s">
        <v>13207</v>
      </c>
      <c r="D342" s="8">
        <v>5328</v>
      </c>
      <c r="E342" s="723"/>
      <c r="F342" s="725" t="s">
        <v>12853</v>
      </c>
      <c r="G342" s="1"/>
      <c r="I342" s="1"/>
    </row>
    <row r="343" spans="1:9">
      <c r="A343" s="725" t="s">
        <v>835</v>
      </c>
      <c r="B343" s="725" t="s">
        <v>13208</v>
      </c>
      <c r="C343" s="1" t="s">
        <v>13209</v>
      </c>
      <c r="D343" s="7">
        <v>5337</v>
      </c>
      <c r="E343" s="723"/>
      <c r="F343" s="725" t="s">
        <v>12854</v>
      </c>
      <c r="G343" s="1"/>
      <c r="I343" s="1"/>
    </row>
    <row r="344" spans="1:9">
      <c r="A344" s="725" t="s">
        <v>836</v>
      </c>
      <c r="B344" s="725" t="s">
        <v>13210</v>
      </c>
      <c r="C344" s="1" t="s">
        <v>13211</v>
      </c>
      <c r="D344" s="7">
        <v>3738</v>
      </c>
      <c r="E344" s="723"/>
      <c r="F344" s="725" t="s">
        <v>12854</v>
      </c>
      <c r="G344" s="1"/>
      <c r="I344" s="1"/>
    </row>
    <row r="345" spans="1:9">
      <c r="A345" s="725" t="s">
        <v>837</v>
      </c>
      <c r="B345" s="725" t="s">
        <v>7576</v>
      </c>
      <c r="C345" s="1" t="s">
        <v>13212</v>
      </c>
      <c r="D345" s="8">
        <v>3171</v>
      </c>
      <c r="E345" s="723"/>
      <c r="F345" s="725" t="s">
        <v>12854</v>
      </c>
      <c r="G345" s="1"/>
      <c r="I345" s="1"/>
    </row>
    <row r="346" spans="1:9">
      <c r="A346" s="725" t="s">
        <v>838</v>
      </c>
      <c r="B346" s="725" t="s">
        <v>3714</v>
      </c>
      <c r="C346" s="1" t="s">
        <v>13213</v>
      </c>
      <c r="D346" s="7">
        <v>4285</v>
      </c>
      <c r="E346" s="723"/>
      <c r="F346" s="725" t="s">
        <v>12854</v>
      </c>
      <c r="G346" s="1"/>
      <c r="I346" s="1"/>
    </row>
    <row r="347" spans="1:9">
      <c r="A347" s="725" t="s">
        <v>840</v>
      </c>
      <c r="B347" s="725" t="s">
        <v>13214</v>
      </c>
      <c r="C347" s="1" t="s">
        <v>13215</v>
      </c>
      <c r="D347" s="7">
        <v>4679</v>
      </c>
      <c r="E347" s="723"/>
      <c r="F347" s="725" t="s">
        <v>12854</v>
      </c>
      <c r="G347" s="1"/>
      <c r="I347" s="1"/>
    </row>
    <row r="348" spans="1:9">
      <c r="A348" s="737">
        <v>20</v>
      </c>
      <c r="B348" s="725" t="s">
        <v>73</v>
      </c>
      <c r="C348" s="1" t="s">
        <v>13216</v>
      </c>
      <c r="D348" s="7">
        <v>4749</v>
      </c>
      <c r="E348" s="723"/>
      <c r="F348" s="725" t="s">
        <v>12854</v>
      </c>
      <c r="G348" s="1"/>
      <c r="I348" s="1"/>
    </row>
    <row r="349" spans="1:9">
      <c r="A349" s="737">
        <v>21</v>
      </c>
      <c r="B349" s="725" t="s">
        <v>13217</v>
      </c>
      <c r="C349" s="1" t="s">
        <v>13218</v>
      </c>
      <c r="D349" s="7">
        <v>4593</v>
      </c>
      <c r="E349" s="723"/>
      <c r="F349" s="725" t="s">
        <v>12854</v>
      </c>
      <c r="G349" s="1"/>
      <c r="I349" s="1"/>
    </row>
    <row r="350" spans="1:9">
      <c r="A350" s="734">
        <v>22</v>
      </c>
      <c r="B350" s="725" t="s">
        <v>8716</v>
      </c>
      <c r="C350" s="1" t="s">
        <v>13219</v>
      </c>
      <c r="D350" s="8">
        <v>1891</v>
      </c>
      <c r="E350" s="723"/>
      <c r="F350" s="725" t="s">
        <v>12854</v>
      </c>
      <c r="G350" s="1"/>
      <c r="I350" s="1"/>
    </row>
    <row r="351" spans="1:9">
      <c r="A351" s="723"/>
      <c r="B351" s="723"/>
      <c r="D351" s="732"/>
      <c r="E351" s="723"/>
      <c r="F351" s="723"/>
    </row>
    <row r="352" spans="1:9">
      <c r="A352" s="725" t="s">
        <v>13059</v>
      </c>
      <c r="D352" s="726">
        <f>D339</f>
        <v>4562</v>
      </c>
      <c r="E352" s="723"/>
      <c r="F352" s="723"/>
    </row>
    <row r="353" spans="1:9">
      <c r="A353" s="725" t="s">
        <v>13141</v>
      </c>
      <c r="D353" s="726">
        <f>D341+D342</f>
        <v>8880</v>
      </c>
      <c r="E353" s="723"/>
      <c r="F353" s="723"/>
    </row>
    <row r="354" spans="1:9">
      <c r="A354" s="725" t="s">
        <v>12854</v>
      </c>
      <c r="D354" s="726">
        <f>SUM(D329:D338)+D340+SUM(D343:D350)</f>
        <v>77324</v>
      </c>
      <c r="E354" s="723"/>
      <c r="F354" s="723"/>
    </row>
    <row r="355" spans="1:9">
      <c r="A355" s="725"/>
      <c r="D355" s="726"/>
      <c r="E355" s="723"/>
      <c r="F355" s="723"/>
    </row>
    <row r="356" spans="1:9">
      <c r="A356" s="725" t="s">
        <v>13220</v>
      </c>
      <c r="D356" s="726"/>
      <c r="E356" s="723"/>
      <c r="F356" s="723"/>
    </row>
    <row r="357" spans="1:9">
      <c r="A357" s="725" t="s">
        <v>13221</v>
      </c>
      <c r="D357" s="726"/>
      <c r="E357" s="723"/>
      <c r="F357" s="723"/>
    </row>
    <row r="358" spans="1:9">
      <c r="A358" s="365" t="s">
        <v>13222</v>
      </c>
      <c r="D358" s="726"/>
      <c r="E358" s="723"/>
      <c r="F358" s="723"/>
    </row>
    <row r="359" spans="1:9">
      <c r="A359" s="725"/>
      <c r="B359" s="725"/>
      <c r="D359" s="736"/>
      <c r="E359" s="723"/>
      <c r="F359" s="723"/>
    </row>
    <row r="360" spans="1:9">
      <c r="A360" s="725"/>
      <c r="B360" s="725"/>
      <c r="D360" s="736"/>
      <c r="E360" s="723"/>
      <c r="F360" s="723"/>
    </row>
    <row r="361" spans="1:9">
      <c r="A361" s="723"/>
      <c r="B361" s="723"/>
      <c r="D361" s="10" t="s">
        <v>285</v>
      </c>
      <c r="E361" s="38"/>
      <c r="F361" s="38" t="s">
        <v>4116</v>
      </c>
    </row>
    <row r="362" spans="1:9">
      <c r="A362" s="723"/>
      <c r="B362" s="723"/>
      <c r="D362" s="39">
        <v>2016</v>
      </c>
      <c r="E362" s="723"/>
      <c r="F362" s="41" t="s">
        <v>286</v>
      </c>
    </row>
    <row r="363" spans="1:9">
      <c r="A363" s="725" t="s">
        <v>13223</v>
      </c>
      <c r="D363" s="726">
        <f t="shared" ref="D363" si="44">SUM(D364:D387)</f>
        <v>45804</v>
      </c>
      <c r="E363" s="723"/>
      <c r="F363" s="723"/>
    </row>
    <row r="364" spans="1:9">
      <c r="A364" s="725" t="s">
        <v>812</v>
      </c>
      <c r="B364" s="725" t="s">
        <v>13224</v>
      </c>
      <c r="C364" s="1" t="s">
        <v>13225</v>
      </c>
      <c r="D364" s="13">
        <v>1134</v>
      </c>
      <c r="E364" s="723"/>
      <c r="F364" s="725" t="s">
        <v>12853</v>
      </c>
      <c r="G364" s="21"/>
      <c r="I364" s="1"/>
    </row>
    <row r="365" spans="1:9">
      <c r="A365" s="725" t="s">
        <v>813</v>
      </c>
      <c r="B365" s="725" t="s">
        <v>13226</v>
      </c>
      <c r="C365" s="1" t="s">
        <v>13227</v>
      </c>
      <c r="D365" s="13">
        <v>2070</v>
      </c>
      <c r="E365" s="723"/>
      <c r="F365" s="725" t="s">
        <v>12853</v>
      </c>
      <c r="G365" s="21"/>
      <c r="I365" s="1"/>
    </row>
    <row r="366" spans="1:9">
      <c r="A366" s="725" t="s">
        <v>814</v>
      </c>
      <c r="B366" s="725" t="s">
        <v>13228</v>
      </c>
      <c r="C366" s="1" t="s">
        <v>13229</v>
      </c>
      <c r="D366" s="13">
        <v>2414</v>
      </c>
      <c r="E366" s="723"/>
      <c r="F366" s="725" t="s">
        <v>12846</v>
      </c>
      <c r="G366" s="21"/>
      <c r="I366" s="1"/>
    </row>
    <row r="367" spans="1:9">
      <c r="A367" s="725" t="s">
        <v>815</v>
      </c>
      <c r="B367" s="725" t="s">
        <v>13230</v>
      </c>
      <c r="C367" s="1" t="s">
        <v>13231</v>
      </c>
      <c r="D367" s="13">
        <v>1074</v>
      </c>
      <c r="E367" s="723"/>
      <c r="F367" s="725" t="s">
        <v>12853</v>
      </c>
      <c r="G367" s="21"/>
      <c r="I367" s="1"/>
    </row>
    <row r="368" spans="1:9">
      <c r="A368" s="725" t="s">
        <v>816</v>
      </c>
      <c r="B368" s="725" t="s">
        <v>13232</v>
      </c>
      <c r="C368" s="1" t="s">
        <v>13233</v>
      </c>
      <c r="D368" s="13">
        <v>1063</v>
      </c>
      <c r="E368" s="723"/>
      <c r="F368" s="725" t="s">
        <v>12853</v>
      </c>
      <c r="G368" s="21"/>
      <c r="I368" s="1"/>
    </row>
    <row r="369" spans="1:9">
      <c r="A369" s="725" t="s">
        <v>826</v>
      </c>
      <c r="B369" s="725" t="s">
        <v>13234</v>
      </c>
      <c r="C369" s="1" t="s">
        <v>13235</v>
      </c>
      <c r="D369" s="13">
        <v>1111</v>
      </c>
      <c r="E369" s="723"/>
      <c r="F369" s="725" t="s">
        <v>12853</v>
      </c>
      <c r="G369" s="21"/>
      <c r="I369" s="1"/>
    </row>
    <row r="370" spans="1:9">
      <c r="A370" s="725" t="s">
        <v>827</v>
      </c>
      <c r="B370" s="725" t="s">
        <v>13236</v>
      </c>
      <c r="C370" s="1" t="s">
        <v>13237</v>
      </c>
      <c r="D370" s="13">
        <v>2082</v>
      </c>
      <c r="E370" s="723"/>
      <c r="F370" s="725" t="s">
        <v>12846</v>
      </c>
      <c r="G370" s="21"/>
      <c r="I370" s="1"/>
    </row>
    <row r="371" spans="1:9">
      <c r="A371" s="725" t="s">
        <v>828</v>
      </c>
      <c r="B371" s="725" t="s">
        <v>13238</v>
      </c>
      <c r="C371" s="1" t="s">
        <v>13239</v>
      </c>
      <c r="D371" s="13">
        <v>2394</v>
      </c>
      <c r="E371" s="723"/>
      <c r="F371" s="725" t="s">
        <v>12853</v>
      </c>
      <c r="G371" s="21"/>
      <c r="I371" s="1"/>
    </row>
    <row r="372" spans="1:9">
      <c r="A372" s="725" t="s">
        <v>829</v>
      </c>
      <c r="B372" s="725" t="s">
        <v>13240</v>
      </c>
      <c r="C372" s="1" t="s">
        <v>13241</v>
      </c>
      <c r="D372" s="13">
        <v>1986</v>
      </c>
      <c r="E372" s="723"/>
      <c r="F372" s="725" t="s">
        <v>12853</v>
      </c>
      <c r="G372" s="21"/>
      <c r="I372" s="1"/>
    </row>
    <row r="373" spans="1:9">
      <c r="A373" s="725" t="s">
        <v>830</v>
      </c>
      <c r="B373" s="725" t="s">
        <v>13242</v>
      </c>
      <c r="C373" s="1" t="s">
        <v>13243</v>
      </c>
      <c r="D373" s="13">
        <v>2358</v>
      </c>
      <c r="E373" s="723"/>
      <c r="F373" s="725" t="s">
        <v>12846</v>
      </c>
      <c r="G373" s="21"/>
      <c r="I373" s="1"/>
    </row>
    <row r="374" spans="1:9">
      <c r="A374" s="725" t="s">
        <v>831</v>
      </c>
      <c r="B374" s="725" t="s">
        <v>13244</v>
      </c>
      <c r="C374" s="1" t="s">
        <v>13245</v>
      </c>
      <c r="D374" s="13">
        <v>1083</v>
      </c>
      <c r="E374" s="723"/>
      <c r="F374" s="725" t="s">
        <v>12853</v>
      </c>
      <c r="G374" s="21"/>
      <c r="I374" s="1"/>
    </row>
    <row r="375" spans="1:9">
      <c r="A375" s="725" t="s">
        <v>832</v>
      </c>
      <c r="B375" s="725" t="s">
        <v>13246</v>
      </c>
      <c r="C375" s="1" t="s">
        <v>13247</v>
      </c>
      <c r="D375" s="13">
        <v>1890</v>
      </c>
      <c r="E375" s="723"/>
      <c r="F375" s="725" t="s">
        <v>12846</v>
      </c>
      <c r="G375" s="21"/>
      <c r="I375" s="1"/>
    </row>
    <row r="376" spans="1:9">
      <c r="A376" s="725" t="s">
        <v>833</v>
      </c>
      <c r="B376" s="725" t="s">
        <v>74</v>
      </c>
      <c r="C376" s="1" t="s">
        <v>13248</v>
      </c>
      <c r="D376" s="13">
        <v>2371</v>
      </c>
      <c r="E376" s="723"/>
      <c r="F376" s="725" t="s">
        <v>12846</v>
      </c>
      <c r="G376" s="21"/>
      <c r="I376" s="1"/>
    </row>
    <row r="377" spans="1:9">
      <c r="A377" s="725" t="s">
        <v>834</v>
      </c>
      <c r="B377" s="725" t="s">
        <v>13249</v>
      </c>
      <c r="C377" s="1" t="s">
        <v>13250</v>
      </c>
      <c r="D377" s="13">
        <v>2228</v>
      </c>
      <c r="E377" s="723"/>
      <c r="F377" s="725" t="s">
        <v>12846</v>
      </c>
      <c r="G377" s="21"/>
      <c r="I377" s="1"/>
    </row>
    <row r="378" spans="1:9">
      <c r="A378" s="725" t="s">
        <v>835</v>
      </c>
      <c r="B378" s="725" t="s">
        <v>6703</v>
      </c>
      <c r="C378" s="1" t="s">
        <v>13251</v>
      </c>
      <c r="D378" s="13">
        <v>2501</v>
      </c>
      <c r="E378" s="723"/>
      <c r="F378" s="725" t="s">
        <v>12846</v>
      </c>
      <c r="G378" s="21"/>
      <c r="I378" s="1"/>
    </row>
    <row r="379" spans="1:9">
      <c r="A379" s="725" t="s">
        <v>836</v>
      </c>
      <c r="B379" s="725" t="s">
        <v>13252</v>
      </c>
      <c r="C379" s="1" t="s">
        <v>13253</v>
      </c>
      <c r="D379" s="13">
        <v>2080</v>
      </c>
      <c r="E379" s="723"/>
      <c r="F379" s="725" t="s">
        <v>12846</v>
      </c>
      <c r="G379" s="21"/>
      <c r="I379" s="1"/>
    </row>
    <row r="380" spans="1:9">
      <c r="A380" s="725" t="s">
        <v>837</v>
      </c>
      <c r="B380" s="725" t="s">
        <v>13254</v>
      </c>
      <c r="C380" s="1" t="s">
        <v>13255</v>
      </c>
      <c r="D380" s="13">
        <v>1265</v>
      </c>
      <c r="E380" s="723"/>
      <c r="F380" s="725" t="s">
        <v>12853</v>
      </c>
      <c r="G380" s="21"/>
      <c r="I380" s="1"/>
    </row>
    <row r="381" spans="1:9">
      <c r="A381" s="725" t="s">
        <v>838</v>
      </c>
      <c r="B381" s="725" t="s">
        <v>13256</v>
      </c>
      <c r="C381" s="1" t="s">
        <v>13257</v>
      </c>
      <c r="D381" s="13">
        <v>1192</v>
      </c>
      <c r="E381" s="723"/>
      <c r="F381" s="725" t="s">
        <v>12846</v>
      </c>
      <c r="G381" s="21"/>
      <c r="I381" s="1"/>
    </row>
    <row r="382" spans="1:9">
      <c r="A382" s="725" t="s">
        <v>840</v>
      </c>
      <c r="B382" s="725" t="s">
        <v>5043</v>
      </c>
      <c r="C382" s="1" t="s">
        <v>13258</v>
      </c>
      <c r="D382" s="13">
        <v>2274</v>
      </c>
      <c r="E382" s="723"/>
      <c r="F382" s="725" t="s">
        <v>12846</v>
      </c>
      <c r="G382" s="21"/>
      <c r="I382" s="1"/>
    </row>
    <row r="383" spans="1:9">
      <c r="A383" s="725" t="s">
        <v>841</v>
      </c>
      <c r="B383" s="725" t="s">
        <v>13259</v>
      </c>
      <c r="C383" s="1" t="s">
        <v>13260</v>
      </c>
      <c r="D383" s="13">
        <v>2308</v>
      </c>
      <c r="E383" s="723"/>
      <c r="F383" s="725" t="s">
        <v>12846</v>
      </c>
      <c r="G383" s="21"/>
      <c r="I383" s="1"/>
    </row>
    <row r="384" spans="1:9">
      <c r="A384" s="725" t="s">
        <v>878</v>
      </c>
      <c r="B384" s="725" t="s">
        <v>13261</v>
      </c>
      <c r="C384" s="1" t="s">
        <v>13262</v>
      </c>
      <c r="D384" s="13">
        <v>2527</v>
      </c>
      <c r="E384" s="723"/>
      <c r="F384" s="725" t="s">
        <v>12853</v>
      </c>
      <c r="G384" s="21"/>
      <c r="I384" s="1"/>
    </row>
    <row r="385" spans="1:9">
      <c r="A385" s="725" t="s">
        <v>879</v>
      </c>
      <c r="B385" s="725" t="s">
        <v>13263</v>
      </c>
      <c r="C385" s="1" t="s">
        <v>13264</v>
      </c>
      <c r="D385" s="13">
        <v>3078</v>
      </c>
      <c r="E385" s="723"/>
      <c r="F385" s="725" t="s">
        <v>12846</v>
      </c>
      <c r="G385" s="21"/>
      <c r="I385" s="1"/>
    </row>
    <row r="386" spans="1:9">
      <c r="A386" s="725" t="s">
        <v>880</v>
      </c>
      <c r="B386" s="725" t="s">
        <v>13265</v>
      </c>
      <c r="C386" s="1" t="s">
        <v>13266</v>
      </c>
      <c r="D386" s="13">
        <v>2077</v>
      </c>
      <c r="E386" s="723"/>
      <c r="F386" s="725" t="s">
        <v>12846</v>
      </c>
      <c r="G386" s="21"/>
      <c r="I386" s="1"/>
    </row>
    <row r="387" spans="1:9">
      <c r="A387" s="725" t="s">
        <v>721</v>
      </c>
      <c r="B387" s="725" t="s">
        <v>13267</v>
      </c>
      <c r="C387" s="1" t="s">
        <v>13268</v>
      </c>
      <c r="D387" s="13">
        <v>1244</v>
      </c>
      <c r="E387" s="723"/>
      <c r="F387" s="725" t="s">
        <v>12846</v>
      </c>
      <c r="G387" s="21"/>
      <c r="I387" s="1"/>
    </row>
    <row r="388" spans="1:9">
      <c r="A388" s="723"/>
      <c r="B388" s="723"/>
      <c r="D388" s="732"/>
      <c r="E388" s="723"/>
      <c r="F388" s="723"/>
    </row>
    <row r="389" spans="1:9">
      <c r="A389" s="725" t="s">
        <v>13180</v>
      </c>
      <c r="B389" s="723"/>
      <c r="D389" s="732">
        <f>D366+D370+D373+SUM(D375:D379)+SUM(D381:D383)+SUM(D385:D387)</f>
        <v>30097</v>
      </c>
      <c r="E389" s="723"/>
      <c r="F389" s="723"/>
    </row>
    <row r="390" spans="1:9">
      <c r="A390" s="725" t="s">
        <v>13141</v>
      </c>
      <c r="D390" s="726">
        <f>D364+D365+SUM(D367:D369)+D371+D372+D374+D380+D384</f>
        <v>15707</v>
      </c>
      <c r="E390" s="723"/>
      <c r="F390" s="723"/>
    </row>
    <row r="391" spans="1:9">
      <c r="A391" s="725"/>
      <c r="D391" s="726"/>
      <c r="E391" s="723"/>
      <c r="F391" s="723"/>
    </row>
    <row r="392" spans="1:9">
      <c r="A392" s="725" t="s">
        <v>13269</v>
      </c>
      <c r="D392" s="726"/>
      <c r="E392" s="723"/>
      <c r="F392" s="723"/>
    </row>
    <row r="393" spans="1:9">
      <c r="A393" s="725"/>
      <c r="B393" s="725"/>
      <c r="D393" s="736"/>
      <c r="E393" s="723"/>
      <c r="F393" s="723"/>
    </row>
    <row r="394" spans="1:9">
      <c r="A394" s="725"/>
      <c r="B394" s="725"/>
      <c r="D394" s="736"/>
      <c r="E394" s="723"/>
      <c r="F394" s="723"/>
    </row>
    <row r="395" spans="1:9">
      <c r="A395" s="723"/>
      <c r="B395" s="723"/>
      <c r="D395" s="10" t="s">
        <v>285</v>
      </c>
      <c r="E395" s="38"/>
      <c r="F395" s="38" t="s">
        <v>4116</v>
      </c>
    </row>
    <row r="396" spans="1:9">
      <c r="A396" s="723"/>
      <c r="B396" s="723"/>
      <c r="D396" s="39">
        <v>2016</v>
      </c>
      <c r="E396" s="723"/>
      <c r="F396" s="41" t="s">
        <v>286</v>
      </c>
    </row>
    <row r="397" spans="1:9">
      <c r="A397" s="725" t="s">
        <v>13270</v>
      </c>
      <c r="D397" s="726">
        <f t="shared" ref="D397" si="45">SUM(D398:D411)</f>
        <v>51076</v>
      </c>
      <c r="E397" s="723"/>
      <c r="F397" s="723"/>
    </row>
    <row r="398" spans="1:9">
      <c r="A398" s="725" t="s">
        <v>812</v>
      </c>
      <c r="B398" s="725" t="s">
        <v>13271</v>
      </c>
      <c r="C398" s="1" t="s">
        <v>13272</v>
      </c>
      <c r="D398" s="7">
        <v>2751</v>
      </c>
      <c r="E398" s="723"/>
      <c r="F398" s="725" t="s">
        <v>12855</v>
      </c>
      <c r="G398" s="1"/>
      <c r="I398" s="1"/>
    </row>
    <row r="399" spans="1:9">
      <c r="A399" s="725" t="s">
        <v>813</v>
      </c>
      <c r="B399" s="725" t="s">
        <v>11660</v>
      </c>
      <c r="C399" s="1" t="s">
        <v>13273</v>
      </c>
      <c r="D399" s="7">
        <v>2864</v>
      </c>
      <c r="E399" s="723"/>
      <c r="F399" s="725" t="s">
        <v>12855</v>
      </c>
      <c r="G399" s="1"/>
      <c r="I399" s="1"/>
    </row>
    <row r="400" spans="1:9">
      <c r="A400" s="725" t="s">
        <v>814</v>
      </c>
      <c r="B400" s="725" t="s">
        <v>13274</v>
      </c>
      <c r="C400" s="1" t="s">
        <v>13275</v>
      </c>
      <c r="D400" s="7">
        <v>2741</v>
      </c>
      <c r="E400" s="723"/>
      <c r="F400" s="725" t="s">
        <v>12855</v>
      </c>
      <c r="G400" s="1"/>
      <c r="I400" s="1"/>
    </row>
    <row r="401" spans="1:9">
      <c r="A401" s="725" t="s">
        <v>815</v>
      </c>
      <c r="B401" s="725" t="s">
        <v>13276</v>
      </c>
      <c r="C401" s="1" t="s">
        <v>13277</v>
      </c>
      <c r="D401" s="7">
        <v>3159</v>
      </c>
      <c r="E401" s="723"/>
      <c r="F401" s="725" t="s">
        <v>12855</v>
      </c>
      <c r="G401" s="1"/>
      <c r="I401" s="1"/>
    </row>
    <row r="402" spans="1:9">
      <c r="A402" s="725" t="s">
        <v>816</v>
      </c>
      <c r="B402" s="725" t="s">
        <v>13278</v>
      </c>
      <c r="C402" s="1" t="s">
        <v>13279</v>
      </c>
      <c r="D402" s="7">
        <v>4325</v>
      </c>
      <c r="E402" s="723"/>
      <c r="F402" s="725" t="s">
        <v>12855</v>
      </c>
      <c r="G402" s="1"/>
      <c r="I402" s="1"/>
    </row>
    <row r="403" spans="1:9">
      <c r="A403" s="725" t="s">
        <v>826</v>
      </c>
      <c r="B403" s="725" t="s">
        <v>13280</v>
      </c>
      <c r="C403" s="1" t="s">
        <v>13281</v>
      </c>
      <c r="D403" s="7">
        <v>4274</v>
      </c>
      <c r="E403" s="723"/>
      <c r="F403" s="725" t="s">
        <v>12855</v>
      </c>
      <c r="G403" s="1"/>
      <c r="I403" s="1"/>
    </row>
    <row r="404" spans="1:9">
      <c r="A404" s="725" t="s">
        <v>827</v>
      </c>
      <c r="B404" s="725" t="s">
        <v>13282</v>
      </c>
      <c r="C404" s="1" t="s">
        <v>13283</v>
      </c>
      <c r="D404" s="7">
        <v>4050</v>
      </c>
      <c r="E404" s="723"/>
      <c r="F404" s="725" t="s">
        <v>12855</v>
      </c>
      <c r="G404" s="1"/>
      <c r="I404" s="1"/>
    </row>
    <row r="405" spans="1:9">
      <c r="A405" s="725" t="s">
        <v>828</v>
      </c>
      <c r="B405" s="725" t="s">
        <v>13284</v>
      </c>
      <c r="C405" s="1" t="s">
        <v>13285</v>
      </c>
      <c r="D405" s="7">
        <v>2992</v>
      </c>
      <c r="E405" s="723"/>
      <c r="F405" s="725" t="s">
        <v>12855</v>
      </c>
      <c r="G405" s="1"/>
      <c r="I405" s="1"/>
    </row>
    <row r="406" spans="1:9">
      <c r="A406" s="725" t="s">
        <v>829</v>
      </c>
      <c r="B406" s="725" t="s">
        <v>13286</v>
      </c>
      <c r="C406" s="1" t="s">
        <v>13287</v>
      </c>
      <c r="D406" s="7">
        <v>4776</v>
      </c>
      <c r="E406" s="723"/>
      <c r="F406" s="725" t="s">
        <v>12855</v>
      </c>
      <c r="G406" s="1"/>
      <c r="I406" s="1"/>
    </row>
    <row r="407" spans="1:9">
      <c r="A407" s="725" t="s">
        <v>830</v>
      </c>
      <c r="B407" s="725" t="s">
        <v>13288</v>
      </c>
      <c r="C407" s="1" t="s">
        <v>13289</v>
      </c>
      <c r="D407" s="7">
        <v>4013</v>
      </c>
      <c r="E407" s="723"/>
      <c r="F407" s="725" t="s">
        <v>12855</v>
      </c>
      <c r="G407" s="1"/>
      <c r="I407" s="1"/>
    </row>
    <row r="408" spans="1:9">
      <c r="A408" s="725" t="s">
        <v>831</v>
      </c>
      <c r="B408" s="725" t="s">
        <v>13290</v>
      </c>
      <c r="C408" s="1" t="s">
        <v>13291</v>
      </c>
      <c r="D408" s="7">
        <v>4083</v>
      </c>
      <c r="E408" s="723"/>
      <c r="F408" s="725" t="s">
        <v>12855</v>
      </c>
      <c r="G408" s="1"/>
      <c r="I408" s="1"/>
    </row>
    <row r="409" spans="1:9">
      <c r="A409" s="725" t="s">
        <v>832</v>
      </c>
      <c r="B409" s="725" t="s">
        <v>13292</v>
      </c>
      <c r="C409" s="1" t="s">
        <v>13293</v>
      </c>
      <c r="D409" s="7">
        <v>2802</v>
      </c>
      <c r="E409" s="723"/>
      <c r="F409" s="725" t="s">
        <v>12855</v>
      </c>
      <c r="G409" s="1"/>
      <c r="I409" s="1"/>
    </row>
    <row r="410" spans="1:9">
      <c r="A410" s="725" t="s">
        <v>833</v>
      </c>
      <c r="B410" s="725" t="s">
        <v>13294</v>
      </c>
      <c r="C410" s="1" t="s">
        <v>13295</v>
      </c>
      <c r="D410" s="7">
        <v>4193</v>
      </c>
      <c r="E410" s="723"/>
      <c r="F410" s="725" t="s">
        <v>12855</v>
      </c>
      <c r="G410" s="1"/>
      <c r="I410" s="1"/>
    </row>
    <row r="411" spans="1:9">
      <c r="A411" s="734">
        <v>14</v>
      </c>
      <c r="B411" s="725" t="s">
        <v>12643</v>
      </c>
      <c r="C411" s="1" t="s">
        <v>13296</v>
      </c>
      <c r="D411" s="7">
        <v>4053</v>
      </c>
      <c r="E411" s="723"/>
      <c r="F411" s="725" t="s">
        <v>12855</v>
      </c>
      <c r="G411" s="1"/>
      <c r="I411" s="1"/>
    </row>
    <row r="412" spans="1:9">
      <c r="A412" s="723"/>
      <c r="B412" s="723"/>
      <c r="D412" s="732"/>
      <c r="E412" s="723"/>
      <c r="F412" s="723"/>
    </row>
    <row r="413" spans="1:9">
      <c r="A413" s="725" t="s">
        <v>13297</v>
      </c>
      <c r="D413" s="726">
        <f>SUM(D398:D411)</f>
        <v>51076</v>
      </c>
      <c r="E413" s="723"/>
      <c r="F413" s="723"/>
    </row>
    <row r="414" spans="1:9">
      <c r="A414" s="725"/>
      <c r="D414" s="726"/>
      <c r="E414" s="723"/>
      <c r="F414" s="723"/>
    </row>
    <row r="415" spans="1:9">
      <c r="A415" s="725" t="s">
        <v>13298</v>
      </c>
      <c r="D415" s="726"/>
      <c r="E415" s="723"/>
      <c r="F415" s="723"/>
    </row>
    <row r="416" spans="1:9">
      <c r="A416" s="725"/>
      <c r="B416" s="725"/>
      <c r="D416" s="736"/>
      <c r="E416" s="723"/>
      <c r="F416" s="723"/>
    </row>
    <row r="417" spans="1:9">
      <c r="A417" s="725"/>
      <c r="B417" s="725"/>
      <c r="D417" s="736"/>
      <c r="E417" s="723"/>
      <c r="F417" s="723"/>
    </row>
    <row r="418" spans="1:9">
      <c r="A418" s="723"/>
      <c r="B418" s="723"/>
      <c r="D418" s="10" t="s">
        <v>285</v>
      </c>
      <c r="E418" s="38"/>
      <c r="F418" s="38" t="s">
        <v>4116</v>
      </c>
    </row>
    <row r="419" spans="1:9">
      <c r="A419" s="723"/>
      <c r="B419" s="723"/>
      <c r="D419" s="39">
        <v>2016</v>
      </c>
      <c r="E419" s="723"/>
      <c r="F419" s="41" t="s">
        <v>286</v>
      </c>
    </row>
    <row r="420" spans="1:9">
      <c r="A420" s="725" t="s">
        <v>13299</v>
      </c>
      <c r="D420" s="726">
        <f>SUM(D421:D443)</f>
        <v>81624</v>
      </c>
      <c r="E420" s="726"/>
      <c r="F420" s="723"/>
    </row>
    <row r="421" spans="1:9">
      <c r="A421" s="725" t="s">
        <v>812</v>
      </c>
      <c r="B421" s="725" t="s">
        <v>13300</v>
      </c>
      <c r="C421" s="1" t="s">
        <v>13301</v>
      </c>
      <c r="D421" s="13">
        <v>3184</v>
      </c>
      <c r="E421" s="723"/>
      <c r="F421" s="725" t="s">
        <v>12846</v>
      </c>
      <c r="I421" s="1"/>
    </row>
    <row r="422" spans="1:9">
      <c r="A422" s="725" t="s">
        <v>813</v>
      </c>
      <c r="B422" s="725" t="s">
        <v>13302</v>
      </c>
      <c r="C422" s="1" t="s">
        <v>13303</v>
      </c>
      <c r="D422" s="13">
        <v>3006</v>
      </c>
      <c r="E422" s="723"/>
      <c r="F422" s="725" t="s">
        <v>12856</v>
      </c>
      <c r="G422" s="1"/>
      <c r="I422" s="1"/>
    </row>
    <row r="423" spans="1:9">
      <c r="A423" s="725" t="s">
        <v>814</v>
      </c>
      <c r="B423" s="725" t="s">
        <v>13304</v>
      </c>
      <c r="C423" s="1" t="s">
        <v>13305</v>
      </c>
      <c r="D423" s="13">
        <v>3534</v>
      </c>
      <c r="E423" s="723"/>
      <c r="F423" s="725" t="s">
        <v>12856</v>
      </c>
      <c r="G423" s="1"/>
      <c r="I423" s="1"/>
    </row>
    <row r="424" spans="1:9">
      <c r="A424" s="725" t="s">
        <v>815</v>
      </c>
      <c r="B424" s="725" t="s">
        <v>13306</v>
      </c>
      <c r="C424" s="1" t="s">
        <v>13307</v>
      </c>
      <c r="D424" s="13">
        <v>3573</v>
      </c>
      <c r="E424" s="723"/>
      <c r="F424" s="725" t="s">
        <v>12856</v>
      </c>
      <c r="G424" s="1"/>
      <c r="I424" s="1"/>
    </row>
    <row r="425" spans="1:9">
      <c r="A425" s="725" t="s">
        <v>816</v>
      </c>
      <c r="B425" s="365" t="s">
        <v>13308</v>
      </c>
      <c r="C425" s="1" t="s">
        <v>13309</v>
      </c>
      <c r="D425" s="13">
        <v>3642</v>
      </c>
      <c r="E425" s="723"/>
      <c r="F425" s="725" t="s">
        <v>12856</v>
      </c>
      <c r="G425" s="1"/>
      <c r="I425" s="1"/>
    </row>
    <row r="426" spans="1:9">
      <c r="A426" s="725" t="s">
        <v>826</v>
      </c>
      <c r="B426" s="725" t="s">
        <v>13310</v>
      </c>
      <c r="C426" s="1" t="s">
        <v>13311</v>
      </c>
      <c r="D426" s="13">
        <v>2785</v>
      </c>
      <c r="E426" s="723"/>
      <c r="F426" s="725" t="s">
        <v>12856</v>
      </c>
      <c r="G426" s="1"/>
      <c r="I426" s="1"/>
    </row>
    <row r="427" spans="1:9">
      <c r="A427" s="725" t="s">
        <v>827</v>
      </c>
      <c r="B427" s="725" t="s">
        <v>13312</v>
      </c>
      <c r="C427" s="1" t="s">
        <v>13313</v>
      </c>
      <c r="D427" s="13">
        <v>3449</v>
      </c>
      <c r="E427" s="723"/>
      <c r="F427" s="725" t="s">
        <v>12846</v>
      </c>
      <c r="G427" s="1"/>
      <c r="I427" s="1"/>
    </row>
    <row r="428" spans="1:9">
      <c r="A428" s="725" t="s">
        <v>828</v>
      </c>
      <c r="B428" s="725" t="s">
        <v>13314</v>
      </c>
      <c r="C428" s="1" t="s">
        <v>13315</v>
      </c>
      <c r="D428" s="13">
        <v>3438</v>
      </c>
      <c r="E428" s="723"/>
      <c r="F428" s="725" t="s">
        <v>12856</v>
      </c>
      <c r="G428" s="1"/>
      <c r="I428" s="1"/>
    </row>
    <row r="429" spans="1:9">
      <c r="A429" s="725" t="s">
        <v>829</v>
      </c>
      <c r="B429" s="725" t="s">
        <v>13316</v>
      </c>
      <c r="C429" s="1" t="s">
        <v>13317</v>
      </c>
      <c r="D429" s="13">
        <v>2791</v>
      </c>
      <c r="E429" s="723"/>
      <c r="F429" s="725" t="s">
        <v>12856</v>
      </c>
      <c r="G429" s="1"/>
      <c r="I429" s="1"/>
    </row>
    <row r="430" spans="1:9">
      <c r="A430" s="725" t="s">
        <v>830</v>
      </c>
      <c r="B430" s="725" t="s">
        <v>13318</v>
      </c>
      <c r="C430" s="1" t="s">
        <v>13319</v>
      </c>
      <c r="D430" s="13">
        <v>2844</v>
      </c>
      <c r="E430" s="723"/>
      <c r="F430" s="725" t="s">
        <v>12856</v>
      </c>
      <c r="G430" s="1"/>
      <c r="I430" s="1"/>
    </row>
    <row r="431" spans="1:9">
      <c r="A431" s="725" t="s">
        <v>831</v>
      </c>
      <c r="B431" s="725" t="s">
        <v>11860</v>
      </c>
      <c r="C431" s="1" t="s">
        <v>13320</v>
      </c>
      <c r="D431" s="13">
        <v>3237</v>
      </c>
      <c r="E431" s="723"/>
      <c r="F431" s="725" t="s">
        <v>12856</v>
      </c>
      <c r="G431" s="1"/>
      <c r="I431" s="1"/>
    </row>
    <row r="432" spans="1:9">
      <c r="A432" s="725" t="s">
        <v>832</v>
      </c>
      <c r="B432" s="725" t="s">
        <v>13321</v>
      </c>
      <c r="C432" s="1" t="s">
        <v>13322</v>
      </c>
      <c r="D432" s="13">
        <v>5486</v>
      </c>
      <c r="E432" s="723"/>
      <c r="F432" s="725" t="s">
        <v>12856</v>
      </c>
      <c r="G432" s="1"/>
      <c r="I432" s="1"/>
    </row>
    <row r="433" spans="1:9">
      <c r="A433" s="725" t="s">
        <v>833</v>
      </c>
      <c r="B433" s="725" t="s">
        <v>13323</v>
      </c>
      <c r="C433" s="1" t="s">
        <v>13324</v>
      </c>
      <c r="D433" s="13">
        <v>3437</v>
      </c>
      <c r="E433" s="723"/>
      <c r="F433" s="725" t="s">
        <v>12856</v>
      </c>
      <c r="G433" s="1"/>
      <c r="I433" s="1"/>
    </row>
    <row r="434" spans="1:9">
      <c r="A434" s="725" t="s">
        <v>834</v>
      </c>
      <c r="B434" s="725" t="s">
        <v>13325</v>
      </c>
      <c r="C434" s="1" t="s">
        <v>13326</v>
      </c>
      <c r="D434" s="13">
        <v>4550</v>
      </c>
      <c r="E434" s="723"/>
      <c r="F434" s="725" t="s">
        <v>12856</v>
      </c>
      <c r="G434" s="1"/>
      <c r="I434" s="1"/>
    </row>
    <row r="435" spans="1:9">
      <c r="A435" s="725" t="s">
        <v>835</v>
      </c>
      <c r="B435" s="725" t="s">
        <v>13327</v>
      </c>
      <c r="C435" s="1" t="s">
        <v>13328</v>
      </c>
      <c r="D435" s="13">
        <v>4913</v>
      </c>
      <c r="E435" s="723"/>
      <c r="F435" s="725" t="s">
        <v>12856</v>
      </c>
      <c r="G435" s="1"/>
      <c r="I435" s="1"/>
    </row>
    <row r="436" spans="1:9">
      <c r="A436" s="725" t="s">
        <v>836</v>
      </c>
      <c r="B436" s="725" t="s">
        <v>13329</v>
      </c>
      <c r="C436" s="1" t="s">
        <v>13330</v>
      </c>
      <c r="D436" s="13">
        <v>5370</v>
      </c>
      <c r="E436" s="723"/>
      <c r="F436" s="725" t="s">
        <v>12856</v>
      </c>
      <c r="G436" s="1"/>
      <c r="I436" s="1"/>
    </row>
    <row r="437" spans="1:9">
      <c r="A437" s="725" t="s">
        <v>837</v>
      </c>
      <c r="B437" s="725" t="s">
        <v>12503</v>
      </c>
      <c r="C437" s="1" t="s">
        <v>13331</v>
      </c>
      <c r="D437" s="13">
        <v>3082</v>
      </c>
      <c r="E437" s="723"/>
      <c r="F437" s="725" t="s">
        <v>12856</v>
      </c>
      <c r="G437" s="1"/>
      <c r="I437" s="1"/>
    </row>
    <row r="438" spans="1:9">
      <c r="A438" s="725" t="s">
        <v>838</v>
      </c>
      <c r="B438" s="725" t="s">
        <v>13332</v>
      </c>
      <c r="C438" s="1" t="s">
        <v>13333</v>
      </c>
      <c r="D438" s="13">
        <v>3629</v>
      </c>
      <c r="E438" s="723"/>
      <c r="F438" s="725" t="s">
        <v>12856</v>
      </c>
      <c r="G438" s="1"/>
      <c r="I438" s="1"/>
    </row>
    <row r="439" spans="1:9">
      <c r="A439" s="725" t="s">
        <v>840</v>
      </c>
      <c r="B439" s="725" t="s">
        <v>13334</v>
      </c>
      <c r="C439" s="1" t="s">
        <v>13335</v>
      </c>
      <c r="D439" s="13">
        <v>3167</v>
      </c>
      <c r="E439" s="723"/>
      <c r="F439" s="725" t="s">
        <v>12856</v>
      </c>
      <c r="G439" s="1"/>
      <c r="I439" s="1"/>
    </row>
    <row r="440" spans="1:9">
      <c r="A440" s="725" t="s">
        <v>841</v>
      </c>
      <c r="B440" s="725" t="s">
        <v>13336</v>
      </c>
      <c r="C440" s="1" t="s">
        <v>13337</v>
      </c>
      <c r="D440" s="13">
        <v>3054</v>
      </c>
      <c r="E440" s="723"/>
      <c r="F440" s="725" t="s">
        <v>12846</v>
      </c>
      <c r="G440" s="1"/>
      <c r="I440" s="1"/>
    </row>
    <row r="441" spans="1:9">
      <c r="A441" s="725" t="s">
        <v>878</v>
      </c>
      <c r="B441" s="725" t="s">
        <v>13338</v>
      </c>
      <c r="C441" s="1" t="s">
        <v>13339</v>
      </c>
      <c r="D441" s="13">
        <v>2998</v>
      </c>
      <c r="E441" s="723"/>
      <c r="F441" s="725" t="s">
        <v>12856</v>
      </c>
      <c r="G441" s="1"/>
      <c r="I441" s="1"/>
    </row>
    <row r="442" spans="1:9">
      <c r="A442" s="737">
        <v>22</v>
      </c>
      <c r="B442" s="725" t="s">
        <v>13340</v>
      </c>
      <c r="C442" s="1" t="s">
        <v>13341</v>
      </c>
      <c r="D442" s="13">
        <v>3172</v>
      </c>
      <c r="E442" s="723"/>
      <c r="F442" s="725" t="s">
        <v>12856</v>
      </c>
      <c r="G442" s="1"/>
      <c r="I442" s="1"/>
    </row>
    <row r="443" spans="1:9">
      <c r="A443" s="737">
        <v>23</v>
      </c>
      <c r="B443" s="725" t="s">
        <v>13342</v>
      </c>
      <c r="C443" s="1" t="s">
        <v>13343</v>
      </c>
      <c r="D443" s="13">
        <v>3283</v>
      </c>
      <c r="E443" s="723"/>
      <c r="F443" s="725" t="s">
        <v>12856</v>
      </c>
      <c r="G443" s="1"/>
      <c r="I443" s="1"/>
    </row>
    <row r="444" spans="1:9">
      <c r="A444" s="723"/>
      <c r="B444" s="723"/>
      <c r="D444" s="732"/>
      <c r="E444" s="723"/>
      <c r="F444" s="723"/>
    </row>
    <row r="445" spans="1:9">
      <c r="A445" s="725" t="s">
        <v>13180</v>
      </c>
      <c r="D445" s="726">
        <f>D421+D427+D440</f>
        <v>9687</v>
      </c>
      <c r="E445" s="723"/>
      <c r="F445" s="723"/>
    </row>
    <row r="446" spans="1:9">
      <c r="A446" s="725" t="s">
        <v>13019</v>
      </c>
      <c r="D446" s="726">
        <f>SUM(D422:D426)+SUM(D428:D439)+SUM(D441:D443)</f>
        <v>71937</v>
      </c>
      <c r="E446" s="723"/>
      <c r="F446" s="723"/>
    </row>
    <row r="447" spans="1:9">
      <c r="A447" s="725"/>
      <c r="D447" s="726"/>
      <c r="E447" s="723"/>
      <c r="F447" s="723"/>
    </row>
    <row r="448" spans="1:9">
      <c r="A448" s="725" t="s">
        <v>13344</v>
      </c>
      <c r="D448" s="726"/>
      <c r="E448" s="723"/>
      <c r="F448" s="723"/>
    </row>
    <row r="449" spans="1:9">
      <c r="A449" s="725"/>
      <c r="B449" s="725"/>
      <c r="D449" s="736"/>
      <c r="E449" s="723"/>
      <c r="F449" s="723"/>
    </row>
    <row r="450" spans="1:9">
      <c r="A450" s="725"/>
      <c r="B450" s="725"/>
      <c r="D450" s="736"/>
      <c r="E450" s="723"/>
      <c r="F450" s="723"/>
    </row>
    <row r="451" spans="1:9">
      <c r="A451" s="723"/>
      <c r="B451" s="723"/>
      <c r="D451" s="10" t="s">
        <v>285</v>
      </c>
      <c r="E451" s="38"/>
      <c r="F451" s="38" t="s">
        <v>4116</v>
      </c>
    </row>
    <row r="452" spans="1:9">
      <c r="A452" s="723"/>
      <c r="B452" s="723"/>
      <c r="D452" s="39">
        <v>2016</v>
      </c>
      <c r="E452" s="723"/>
      <c r="F452" s="41" t="s">
        <v>286</v>
      </c>
    </row>
    <row r="453" spans="1:9">
      <c r="A453" s="725" t="s">
        <v>13345</v>
      </c>
      <c r="D453" s="726">
        <f t="shared" ref="D453" si="46">SUM(D454:D478)</f>
        <v>82644</v>
      </c>
      <c r="E453" s="723"/>
      <c r="F453" s="723"/>
    </row>
    <row r="454" spans="1:9">
      <c r="A454" s="725" t="s">
        <v>812</v>
      </c>
      <c r="B454" s="725" t="s">
        <v>13346</v>
      </c>
      <c r="C454" s="1" t="s">
        <v>13347</v>
      </c>
      <c r="D454" s="7">
        <v>4469</v>
      </c>
      <c r="E454" s="723"/>
      <c r="F454" s="725" t="s">
        <v>12861</v>
      </c>
      <c r="G454" s="1"/>
      <c r="I454" s="1"/>
    </row>
    <row r="455" spans="1:9">
      <c r="A455" s="725" t="s">
        <v>813</v>
      </c>
      <c r="B455" s="725" t="s">
        <v>13348</v>
      </c>
      <c r="C455" s="1" t="s">
        <v>13349</v>
      </c>
      <c r="D455" s="7">
        <v>4551</v>
      </c>
      <c r="E455" s="723"/>
      <c r="F455" s="725" t="s">
        <v>12861</v>
      </c>
      <c r="G455" s="1"/>
      <c r="I455" s="1"/>
    </row>
    <row r="456" spans="1:9">
      <c r="A456" s="725" t="s">
        <v>814</v>
      </c>
      <c r="B456" s="725" t="s">
        <v>13350</v>
      </c>
      <c r="C456" s="1" t="s">
        <v>13351</v>
      </c>
      <c r="D456" s="7">
        <v>3159</v>
      </c>
      <c r="E456" s="723"/>
      <c r="F456" s="725" t="s">
        <v>12861</v>
      </c>
      <c r="G456" s="1"/>
      <c r="I456" s="1"/>
    </row>
    <row r="457" spans="1:9">
      <c r="A457" s="725" t="s">
        <v>815</v>
      </c>
      <c r="B457" s="725" t="s">
        <v>13352</v>
      </c>
      <c r="C457" s="1" t="s">
        <v>13353</v>
      </c>
      <c r="D457" s="7">
        <v>1644</v>
      </c>
      <c r="E457" s="723"/>
      <c r="F457" s="725" t="s">
        <v>12861</v>
      </c>
      <c r="G457" s="1"/>
      <c r="I457" s="1"/>
    </row>
    <row r="458" spans="1:9">
      <c r="A458" s="725" t="s">
        <v>816</v>
      </c>
      <c r="B458" s="725" t="s">
        <v>13354</v>
      </c>
      <c r="C458" s="1" t="s">
        <v>13355</v>
      </c>
      <c r="D458" s="7">
        <v>2693</v>
      </c>
      <c r="E458" s="723"/>
      <c r="F458" s="725" t="s">
        <v>12861</v>
      </c>
      <c r="G458" s="1"/>
      <c r="I458" s="1"/>
    </row>
    <row r="459" spans="1:9">
      <c r="A459" s="725" t="s">
        <v>826</v>
      </c>
      <c r="B459" s="725" t="s">
        <v>13356</v>
      </c>
      <c r="C459" s="1" t="s">
        <v>13357</v>
      </c>
      <c r="D459" s="7">
        <v>3348</v>
      </c>
      <c r="E459" s="723"/>
      <c r="F459" s="725" t="s">
        <v>12861</v>
      </c>
      <c r="G459" s="1"/>
      <c r="I459" s="1"/>
    </row>
    <row r="460" spans="1:9">
      <c r="A460" s="725" t="s">
        <v>827</v>
      </c>
      <c r="B460" s="725" t="s">
        <v>13358</v>
      </c>
      <c r="C460" s="1" t="s">
        <v>13359</v>
      </c>
      <c r="D460" s="7">
        <v>3752</v>
      </c>
      <c r="E460" s="723"/>
      <c r="F460" s="725" t="s">
        <v>12861</v>
      </c>
      <c r="G460" s="1"/>
      <c r="I460" s="1"/>
    </row>
    <row r="461" spans="1:9">
      <c r="A461" s="725" t="s">
        <v>828</v>
      </c>
      <c r="B461" s="725" t="s">
        <v>13360</v>
      </c>
      <c r="C461" s="1" t="s">
        <v>13361</v>
      </c>
      <c r="D461" s="7">
        <v>4798</v>
      </c>
      <c r="E461" s="723"/>
      <c r="F461" s="725" t="s">
        <v>12861</v>
      </c>
      <c r="G461" s="1"/>
      <c r="I461" s="1"/>
    </row>
    <row r="462" spans="1:9">
      <c r="A462" s="725" t="s">
        <v>829</v>
      </c>
      <c r="B462" s="725" t="s">
        <v>13362</v>
      </c>
      <c r="C462" s="1" t="s">
        <v>13363</v>
      </c>
      <c r="D462" s="7">
        <v>2738</v>
      </c>
      <c r="E462" s="723"/>
      <c r="F462" s="725" t="s">
        <v>12861</v>
      </c>
      <c r="G462" s="1"/>
      <c r="I462" s="1"/>
    </row>
    <row r="463" spans="1:9">
      <c r="A463" s="725" t="s">
        <v>830</v>
      </c>
      <c r="B463" s="725" t="s">
        <v>13364</v>
      </c>
      <c r="C463" s="1" t="s">
        <v>13365</v>
      </c>
      <c r="D463" s="7">
        <v>1689</v>
      </c>
      <c r="E463" s="723"/>
      <c r="F463" s="725" t="s">
        <v>12861</v>
      </c>
      <c r="G463" s="1"/>
      <c r="I463" s="1"/>
    </row>
    <row r="464" spans="1:9">
      <c r="A464" s="725" t="s">
        <v>831</v>
      </c>
      <c r="B464" s="725" t="s">
        <v>13366</v>
      </c>
      <c r="C464" s="1" t="s">
        <v>13367</v>
      </c>
      <c r="D464" s="7">
        <v>3133</v>
      </c>
      <c r="E464" s="723"/>
      <c r="F464" s="725" t="s">
        <v>12858</v>
      </c>
      <c r="G464" s="1"/>
      <c r="I464" s="1"/>
    </row>
    <row r="465" spans="1:9">
      <c r="A465" s="725" t="s">
        <v>832</v>
      </c>
      <c r="B465" s="725" t="s">
        <v>11689</v>
      </c>
      <c r="C465" s="1" t="s">
        <v>13368</v>
      </c>
      <c r="D465" s="7">
        <v>4466</v>
      </c>
      <c r="E465" s="723"/>
      <c r="F465" s="725" t="s">
        <v>12861</v>
      </c>
      <c r="G465" s="1"/>
      <c r="I465" s="1"/>
    </row>
    <row r="466" spans="1:9">
      <c r="A466" s="725" t="s">
        <v>833</v>
      </c>
      <c r="B466" s="725" t="s">
        <v>12434</v>
      </c>
      <c r="C466" s="1" t="s">
        <v>13369</v>
      </c>
      <c r="D466" s="8">
        <v>2442</v>
      </c>
      <c r="E466" s="723"/>
      <c r="F466" s="725" t="s">
        <v>12861</v>
      </c>
      <c r="G466" s="1"/>
      <c r="I466" s="1"/>
    </row>
    <row r="467" spans="1:9">
      <c r="A467" s="725" t="s">
        <v>834</v>
      </c>
      <c r="B467" s="725" t="s">
        <v>13370</v>
      </c>
      <c r="C467" s="1" t="s">
        <v>13371</v>
      </c>
      <c r="D467" s="8">
        <v>1632</v>
      </c>
      <c r="E467" s="723"/>
      <c r="F467" s="725" t="s">
        <v>12861</v>
      </c>
      <c r="G467" s="1"/>
      <c r="I467" s="1"/>
    </row>
    <row r="468" spans="1:9">
      <c r="A468" s="725" t="s">
        <v>835</v>
      </c>
      <c r="B468" s="725" t="s">
        <v>13372</v>
      </c>
      <c r="C468" s="1" t="s">
        <v>13373</v>
      </c>
      <c r="D468" s="7">
        <v>3177</v>
      </c>
      <c r="E468" s="723"/>
      <c r="F468" s="725" t="s">
        <v>12858</v>
      </c>
      <c r="G468" s="1"/>
      <c r="I468" s="1"/>
    </row>
    <row r="469" spans="1:9">
      <c r="A469" s="725" t="s">
        <v>836</v>
      </c>
      <c r="B469" s="725" t="s">
        <v>13374</v>
      </c>
      <c r="C469" s="1" t="s">
        <v>13375</v>
      </c>
      <c r="D469" s="8">
        <v>3009</v>
      </c>
      <c r="E469" s="723"/>
      <c r="F469" s="725" t="s">
        <v>12861</v>
      </c>
      <c r="G469" s="1"/>
      <c r="I469" s="1"/>
    </row>
    <row r="470" spans="1:9">
      <c r="A470" s="725" t="s">
        <v>837</v>
      </c>
      <c r="B470" s="725" t="s">
        <v>13376</v>
      </c>
      <c r="C470" s="1" t="s">
        <v>13377</v>
      </c>
      <c r="D470" s="7">
        <v>1637</v>
      </c>
      <c r="E470" s="723"/>
      <c r="F470" s="725" t="s">
        <v>12861</v>
      </c>
      <c r="G470" s="1"/>
      <c r="I470" s="1"/>
    </row>
    <row r="471" spans="1:9">
      <c r="A471" s="725" t="s">
        <v>838</v>
      </c>
      <c r="B471" s="725" t="s">
        <v>13378</v>
      </c>
      <c r="C471" s="1" t="s">
        <v>13379</v>
      </c>
      <c r="D471" s="8">
        <v>3028</v>
      </c>
      <c r="E471" s="723"/>
      <c r="F471" s="725" t="s">
        <v>12861</v>
      </c>
      <c r="G471" s="1"/>
      <c r="I471" s="1"/>
    </row>
    <row r="472" spans="1:9">
      <c r="A472" s="725" t="s">
        <v>840</v>
      </c>
      <c r="B472" s="725" t="s">
        <v>13380</v>
      </c>
      <c r="C472" s="1" t="s">
        <v>13381</v>
      </c>
      <c r="D472" s="8">
        <v>4189</v>
      </c>
      <c r="E472" s="723"/>
      <c r="F472" s="725" t="s">
        <v>12861</v>
      </c>
      <c r="G472" s="1"/>
      <c r="I472" s="1"/>
    </row>
    <row r="473" spans="1:9">
      <c r="A473" s="725" t="s">
        <v>841</v>
      </c>
      <c r="B473" s="725" t="s">
        <v>13382</v>
      </c>
      <c r="C473" s="1" t="s">
        <v>13383</v>
      </c>
      <c r="D473" s="8">
        <v>2837</v>
      </c>
      <c r="E473" s="723"/>
      <c r="F473" s="725" t="s">
        <v>12861</v>
      </c>
      <c r="G473" s="1"/>
      <c r="I473" s="1"/>
    </row>
    <row r="474" spans="1:9">
      <c r="A474" s="725" t="s">
        <v>878</v>
      </c>
      <c r="B474" s="725" t="s">
        <v>13384</v>
      </c>
      <c r="C474" s="1" t="s">
        <v>13385</v>
      </c>
      <c r="D474" s="8">
        <v>4546</v>
      </c>
      <c r="E474" s="723"/>
      <c r="F474" s="725" t="s">
        <v>12861</v>
      </c>
      <c r="G474" s="1"/>
      <c r="I474" s="1"/>
    </row>
    <row r="475" spans="1:9">
      <c r="A475" s="725" t="s">
        <v>879</v>
      </c>
      <c r="B475" s="725" t="s">
        <v>13386</v>
      </c>
      <c r="C475" s="1" t="s">
        <v>13387</v>
      </c>
      <c r="D475" s="8">
        <v>3176</v>
      </c>
      <c r="E475" s="723"/>
      <c r="F475" s="725" t="s">
        <v>12861</v>
      </c>
      <c r="G475" s="1"/>
      <c r="I475" s="1"/>
    </row>
    <row r="476" spans="1:9">
      <c r="A476" s="725" t="s">
        <v>880</v>
      </c>
      <c r="B476" s="725" t="s">
        <v>13388</v>
      </c>
      <c r="C476" s="1" t="s">
        <v>13389</v>
      </c>
      <c r="D476" s="7">
        <v>4437</v>
      </c>
      <c r="E476" s="723"/>
      <c r="F476" s="725" t="s">
        <v>12858</v>
      </c>
      <c r="G476" s="1"/>
      <c r="I476" s="1"/>
    </row>
    <row r="477" spans="1:9">
      <c r="A477" s="725" t="s">
        <v>721</v>
      </c>
      <c r="B477" s="725" t="s">
        <v>13390</v>
      </c>
      <c r="C477" s="1" t="s">
        <v>13391</v>
      </c>
      <c r="D477" s="8">
        <v>4820</v>
      </c>
      <c r="E477" s="723"/>
      <c r="F477" s="725" t="s">
        <v>12861</v>
      </c>
      <c r="G477" s="1"/>
      <c r="I477" s="1"/>
    </row>
    <row r="478" spans="1:9">
      <c r="A478" s="725" t="s">
        <v>722</v>
      </c>
      <c r="B478" s="725" t="s">
        <v>13392</v>
      </c>
      <c r="C478" s="1" t="s">
        <v>13393</v>
      </c>
      <c r="D478" s="8">
        <v>3274</v>
      </c>
      <c r="E478" s="723"/>
      <c r="F478" s="725" t="s">
        <v>12861</v>
      </c>
      <c r="G478" s="1"/>
      <c r="I478" s="1"/>
    </row>
    <row r="479" spans="1:9">
      <c r="A479" s="725"/>
      <c r="B479" s="725"/>
      <c r="D479" s="726"/>
      <c r="E479" s="723"/>
      <c r="F479" s="725"/>
    </row>
    <row r="480" spans="1:9">
      <c r="A480" s="725" t="s">
        <v>13394</v>
      </c>
      <c r="D480" s="726">
        <f>D464+D468+D476</f>
        <v>10747</v>
      </c>
      <c r="E480" s="723"/>
      <c r="F480" s="723"/>
    </row>
    <row r="481" spans="1:9">
      <c r="A481" s="725" t="s">
        <v>13020</v>
      </c>
      <c r="D481" s="726">
        <f>SUM(D454:D463)+SUM(D465:D467)+SUM(D469:D475)+SUM(D477:D478)</f>
        <v>71897</v>
      </c>
      <c r="E481" s="723"/>
      <c r="F481" s="723"/>
    </row>
    <row r="482" spans="1:9">
      <c r="A482" s="725"/>
      <c r="D482" s="726"/>
      <c r="E482" s="723"/>
      <c r="F482" s="723"/>
    </row>
    <row r="483" spans="1:9">
      <c r="A483" s="725" t="s">
        <v>13395</v>
      </c>
      <c r="D483" s="726"/>
      <c r="E483" s="723"/>
      <c r="F483" s="723"/>
    </row>
    <row r="484" spans="1:9">
      <c r="A484" s="725" t="s">
        <v>13396</v>
      </c>
      <c r="D484" s="726"/>
      <c r="E484" s="723"/>
      <c r="F484" s="723"/>
    </row>
    <row r="485" spans="1:9">
      <c r="A485" s="725" t="s">
        <v>13397</v>
      </c>
      <c r="D485" s="726"/>
      <c r="E485" s="723"/>
      <c r="F485" s="723"/>
    </row>
    <row r="486" spans="1:9">
      <c r="A486" s="725"/>
      <c r="B486" s="725"/>
      <c r="D486" s="736"/>
      <c r="E486" s="723"/>
      <c r="F486" s="723"/>
    </row>
    <row r="487" spans="1:9">
      <c r="A487" s="725"/>
      <c r="B487" s="725"/>
      <c r="D487" s="736"/>
      <c r="E487" s="723"/>
      <c r="F487" s="723"/>
    </row>
    <row r="488" spans="1:9">
      <c r="A488" s="723"/>
      <c r="B488" s="723"/>
      <c r="D488" s="10" t="s">
        <v>285</v>
      </c>
      <c r="E488" s="38"/>
      <c r="F488" s="38" t="s">
        <v>4116</v>
      </c>
    </row>
    <row r="489" spans="1:9">
      <c r="A489" s="723"/>
      <c r="B489" s="723"/>
      <c r="D489" s="39">
        <v>2016</v>
      </c>
      <c r="E489" s="723"/>
      <c r="F489" s="41" t="s">
        <v>286</v>
      </c>
    </row>
    <row r="490" spans="1:9">
      <c r="A490" s="725" t="s">
        <v>13398</v>
      </c>
      <c r="D490" s="726">
        <f>SUM(D491:D514)</f>
        <v>82005</v>
      </c>
      <c r="E490" s="723"/>
      <c r="F490" s="723"/>
    </row>
    <row r="491" spans="1:9">
      <c r="A491" s="725" t="s">
        <v>812</v>
      </c>
      <c r="B491" s="725" t="s">
        <v>13399</v>
      </c>
      <c r="C491" s="1" t="s">
        <v>13400</v>
      </c>
      <c r="D491" s="7">
        <v>4371</v>
      </c>
      <c r="E491" s="723"/>
      <c r="F491" s="725" t="s">
        <v>12837</v>
      </c>
      <c r="G491" s="1"/>
      <c r="I491" s="1"/>
    </row>
    <row r="492" spans="1:9">
      <c r="A492" s="725" t="s">
        <v>813</v>
      </c>
      <c r="B492" s="725" t="s">
        <v>13401</v>
      </c>
      <c r="C492" s="1" t="s">
        <v>13402</v>
      </c>
      <c r="D492" s="8">
        <v>2855</v>
      </c>
      <c r="E492" s="723"/>
      <c r="F492" s="725" t="s">
        <v>12849</v>
      </c>
      <c r="G492" s="1"/>
      <c r="I492" s="1"/>
    </row>
    <row r="493" spans="1:9">
      <c r="A493" s="725" t="s">
        <v>814</v>
      </c>
      <c r="B493" s="725" t="s">
        <v>13403</v>
      </c>
      <c r="C493" s="1" t="s">
        <v>13404</v>
      </c>
      <c r="D493" s="8">
        <v>3058</v>
      </c>
      <c r="E493" s="723"/>
      <c r="F493" s="725" t="s">
        <v>12853</v>
      </c>
      <c r="G493" s="1"/>
      <c r="I493" s="1"/>
    </row>
    <row r="494" spans="1:9">
      <c r="A494" s="725" t="s">
        <v>815</v>
      </c>
      <c r="B494" s="725" t="s">
        <v>11461</v>
      </c>
      <c r="C494" s="1" t="s">
        <v>13405</v>
      </c>
      <c r="D494" s="8">
        <v>1676</v>
      </c>
      <c r="E494" s="723"/>
      <c r="F494" s="725" t="s">
        <v>12853</v>
      </c>
      <c r="G494" s="1"/>
      <c r="I494" s="1"/>
    </row>
    <row r="495" spans="1:9">
      <c r="A495" s="725" t="s">
        <v>816</v>
      </c>
      <c r="B495" s="725" t="s">
        <v>13406</v>
      </c>
      <c r="C495" s="1" t="s">
        <v>13407</v>
      </c>
      <c r="D495" s="8">
        <v>3522</v>
      </c>
      <c r="E495" s="723"/>
      <c r="F495" s="725" t="s">
        <v>12849</v>
      </c>
      <c r="G495" s="1"/>
      <c r="I495" s="1"/>
    </row>
    <row r="496" spans="1:9">
      <c r="A496" s="725" t="s">
        <v>826</v>
      </c>
      <c r="B496" s="725" t="s">
        <v>13408</v>
      </c>
      <c r="C496" s="1" t="s">
        <v>13409</v>
      </c>
      <c r="D496" s="7">
        <v>3684</v>
      </c>
      <c r="E496" s="723"/>
      <c r="F496" s="725" t="s">
        <v>12837</v>
      </c>
      <c r="G496" s="1"/>
      <c r="I496" s="1"/>
    </row>
    <row r="497" spans="1:9">
      <c r="A497" s="725" t="s">
        <v>827</v>
      </c>
      <c r="B497" s="725" t="s">
        <v>13410</v>
      </c>
      <c r="C497" s="1" t="s">
        <v>13411</v>
      </c>
      <c r="D497" s="8">
        <v>5280</v>
      </c>
      <c r="E497" s="723"/>
      <c r="F497" s="725" t="s">
        <v>12853</v>
      </c>
      <c r="G497" s="1"/>
      <c r="I497" s="1"/>
    </row>
    <row r="498" spans="1:9">
      <c r="A498" s="725" t="s">
        <v>828</v>
      </c>
      <c r="B498" s="725" t="s">
        <v>13412</v>
      </c>
      <c r="C498" s="1" t="s">
        <v>13413</v>
      </c>
      <c r="D498" s="8">
        <v>3073</v>
      </c>
      <c r="E498" s="723"/>
      <c r="F498" s="725" t="s">
        <v>12853</v>
      </c>
      <c r="G498" s="1"/>
      <c r="I498" s="1"/>
    </row>
    <row r="499" spans="1:9">
      <c r="A499" s="725" t="s">
        <v>829</v>
      </c>
      <c r="B499" s="725" t="s">
        <v>13414</v>
      </c>
      <c r="C499" s="1" t="s">
        <v>13415</v>
      </c>
      <c r="D499" s="8">
        <v>3500</v>
      </c>
      <c r="E499" s="723"/>
      <c r="F499" s="725" t="s">
        <v>12853</v>
      </c>
      <c r="G499" s="1"/>
      <c r="I499" s="1"/>
    </row>
    <row r="500" spans="1:9">
      <c r="A500" s="725" t="s">
        <v>830</v>
      </c>
      <c r="B500" s="725" t="s">
        <v>13416</v>
      </c>
      <c r="C500" s="1" t="s">
        <v>13417</v>
      </c>
      <c r="D500" s="8">
        <v>4967</v>
      </c>
      <c r="E500" s="723"/>
      <c r="F500" s="725" t="s">
        <v>12849</v>
      </c>
      <c r="G500" s="1"/>
      <c r="I500" s="1"/>
    </row>
    <row r="501" spans="1:9">
      <c r="A501" s="725" t="s">
        <v>831</v>
      </c>
      <c r="B501" s="725" t="s">
        <v>9627</v>
      </c>
      <c r="C501" s="1" t="s">
        <v>13418</v>
      </c>
      <c r="D501" s="7">
        <v>3580</v>
      </c>
      <c r="E501" s="723"/>
      <c r="F501" s="725" t="s">
        <v>12837</v>
      </c>
      <c r="G501" s="1"/>
      <c r="I501" s="1"/>
    </row>
    <row r="502" spans="1:9">
      <c r="A502" s="725" t="s">
        <v>832</v>
      </c>
      <c r="B502" s="725" t="s">
        <v>13419</v>
      </c>
      <c r="C502" s="1" t="s">
        <v>13420</v>
      </c>
      <c r="D502" s="7">
        <v>4716</v>
      </c>
      <c r="E502" s="723"/>
      <c r="F502" s="725" t="s">
        <v>12837</v>
      </c>
      <c r="G502" s="1"/>
      <c r="I502" s="1"/>
    </row>
    <row r="503" spans="1:9">
      <c r="A503" s="725" t="s">
        <v>833</v>
      </c>
      <c r="B503" s="725" t="s">
        <v>13421</v>
      </c>
      <c r="C503" s="1" t="s">
        <v>13422</v>
      </c>
      <c r="D503" s="7">
        <v>3596</v>
      </c>
      <c r="E503" s="723"/>
      <c r="F503" s="725" t="s">
        <v>12837</v>
      </c>
      <c r="G503" s="1"/>
      <c r="I503" s="1"/>
    </row>
    <row r="504" spans="1:9">
      <c r="A504" s="725" t="s">
        <v>834</v>
      </c>
      <c r="B504" s="725" t="s">
        <v>303</v>
      </c>
      <c r="C504" s="1" t="s">
        <v>13423</v>
      </c>
      <c r="D504" s="7">
        <v>3259</v>
      </c>
      <c r="E504" s="723"/>
      <c r="F504" s="725" t="s">
        <v>12837</v>
      </c>
      <c r="G504" s="1"/>
      <c r="I504" s="1"/>
    </row>
    <row r="505" spans="1:9">
      <c r="A505" s="725" t="s">
        <v>835</v>
      </c>
      <c r="B505" s="725" t="s">
        <v>13424</v>
      </c>
      <c r="C505" s="1" t="s">
        <v>13425</v>
      </c>
      <c r="D505" s="7">
        <v>3166</v>
      </c>
      <c r="E505" s="723"/>
      <c r="F505" s="725" t="s">
        <v>12837</v>
      </c>
      <c r="G505" s="1"/>
      <c r="I505" s="1"/>
    </row>
    <row r="506" spans="1:9">
      <c r="A506" s="725" t="s">
        <v>836</v>
      </c>
      <c r="B506" s="725" t="s">
        <v>13426</v>
      </c>
      <c r="C506" s="1" t="s">
        <v>13427</v>
      </c>
      <c r="D506" s="7">
        <v>1545</v>
      </c>
      <c r="E506" s="723"/>
      <c r="F506" s="725" t="s">
        <v>12837</v>
      </c>
      <c r="G506" s="1"/>
      <c r="I506" s="1"/>
    </row>
    <row r="507" spans="1:9">
      <c r="A507" s="725" t="s">
        <v>837</v>
      </c>
      <c r="B507" s="725" t="s">
        <v>13428</v>
      </c>
      <c r="C507" s="1" t="s">
        <v>13429</v>
      </c>
      <c r="D507" s="7">
        <v>1907</v>
      </c>
      <c r="E507" s="723"/>
      <c r="F507" s="725" t="s">
        <v>12853</v>
      </c>
      <c r="G507" s="1"/>
      <c r="I507" s="1"/>
    </row>
    <row r="508" spans="1:9">
      <c r="A508" s="725" t="s">
        <v>838</v>
      </c>
      <c r="B508" s="725" t="s">
        <v>13430</v>
      </c>
      <c r="C508" s="1" t="s">
        <v>13431</v>
      </c>
      <c r="D508" s="7">
        <v>4615</v>
      </c>
      <c r="E508" s="723"/>
      <c r="F508" s="725" t="s">
        <v>12853</v>
      </c>
      <c r="G508" s="1"/>
      <c r="I508" s="1"/>
    </row>
    <row r="509" spans="1:9">
      <c r="A509" s="725" t="s">
        <v>840</v>
      </c>
      <c r="B509" s="725" t="s">
        <v>13432</v>
      </c>
      <c r="C509" s="1" t="s">
        <v>13433</v>
      </c>
      <c r="D509" s="7">
        <v>4260</v>
      </c>
      <c r="E509" s="723"/>
      <c r="F509" s="725" t="s">
        <v>12837</v>
      </c>
      <c r="G509" s="1"/>
      <c r="I509" s="1"/>
    </row>
    <row r="510" spans="1:9">
      <c r="A510" s="725" t="s">
        <v>841</v>
      </c>
      <c r="B510" s="725" t="s">
        <v>13434</v>
      </c>
      <c r="C510" s="1" t="s">
        <v>13435</v>
      </c>
      <c r="D510" s="8">
        <v>3673</v>
      </c>
      <c r="E510" s="723"/>
      <c r="F510" s="725" t="s">
        <v>12837</v>
      </c>
      <c r="G510" s="1"/>
      <c r="I510" s="1"/>
    </row>
    <row r="511" spans="1:9">
      <c r="A511" s="725" t="s">
        <v>878</v>
      </c>
      <c r="B511" s="725" t="s">
        <v>13436</v>
      </c>
      <c r="C511" s="1" t="s">
        <v>13437</v>
      </c>
      <c r="D511" s="8">
        <v>3283</v>
      </c>
      <c r="E511" s="723"/>
      <c r="F511" s="725" t="s">
        <v>12849</v>
      </c>
      <c r="G511" s="1"/>
      <c r="I511" s="1"/>
    </row>
    <row r="512" spans="1:9">
      <c r="A512" s="725" t="s">
        <v>879</v>
      </c>
      <c r="B512" s="725" t="s">
        <v>13438</v>
      </c>
      <c r="C512" s="1" t="s">
        <v>13439</v>
      </c>
      <c r="D512" s="7">
        <v>3507</v>
      </c>
      <c r="E512" s="723"/>
      <c r="F512" s="725" t="s">
        <v>12837</v>
      </c>
      <c r="G512" s="1"/>
      <c r="I512" s="1"/>
    </row>
    <row r="513" spans="1:9">
      <c r="A513" s="725" t="s">
        <v>880</v>
      </c>
      <c r="B513" s="725" t="s">
        <v>13440</v>
      </c>
      <c r="C513" s="1" t="s">
        <v>13441</v>
      </c>
      <c r="D513" s="7">
        <v>3320</v>
      </c>
      <c r="E513" s="723"/>
      <c r="F513" s="725" t="s">
        <v>12837</v>
      </c>
      <c r="G513" s="1"/>
      <c r="I513" s="1"/>
    </row>
    <row r="514" spans="1:9">
      <c r="A514" s="725" t="s">
        <v>721</v>
      </c>
      <c r="B514" s="725" t="s">
        <v>13442</v>
      </c>
      <c r="C514" s="1" t="s">
        <v>13443</v>
      </c>
      <c r="D514" s="7">
        <v>1592</v>
      </c>
      <c r="E514" s="723"/>
      <c r="F514" s="725" t="s">
        <v>12853</v>
      </c>
      <c r="G514" s="1"/>
      <c r="I514" s="1"/>
    </row>
    <row r="515" spans="1:9">
      <c r="A515" s="725"/>
      <c r="B515" s="723"/>
      <c r="C515" s="723"/>
      <c r="D515" s="732"/>
      <c r="E515" s="723"/>
      <c r="F515" s="723"/>
      <c r="G515" s="1"/>
      <c r="I515" s="1"/>
    </row>
    <row r="516" spans="1:9">
      <c r="A516" s="725" t="s">
        <v>12942</v>
      </c>
      <c r="D516" s="726">
        <f>D491+D496+SUM(D501:D506)+D509+D510+D512+D513</f>
        <v>42677</v>
      </c>
      <c r="E516" s="723"/>
      <c r="F516" s="723"/>
    </row>
    <row r="517" spans="1:9">
      <c r="A517" s="725" t="s">
        <v>12849</v>
      </c>
      <c r="D517" s="726">
        <f>D492+D495+D500+D511</f>
        <v>14627</v>
      </c>
      <c r="E517" s="723"/>
      <c r="F517" s="723"/>
    </row>
    <row r="518" spans="1:9" ht="15" customHeight="1">
      <c r="A518" s="725" t="s">
        <v>13141</v>
      </c>
      <c r="D518" s="726">
        <f>D493+D494+SUM(D497:D499)+D507+D508+D514</f>
        <v>24701</v>
      </c>
      <c r="E518" s="726"/>
      <c r="F518" s="723"/>
    </row>
    <row r="519" spans="1:9">
      <c r="A519" s="723"/>
      <c r="B519" s="723"/>
      <c r="C519" s="723"/>
      <c r="D519" s="723"/>
      <c r="E519" s="723"/>
      <c r="F519" s="723"/>
    </row>
    <row r="520" spans="1:9">
      <c r="A520" s="723" t="s">
        <v>13444</v>
      </c>
      <c r="B520" s="723"/>
      <c r="C520" s="723"/>
      <c r="D520" s="723"/>
      <c r="E520" s="723"/>
      <c r="F520" s="723"/>
    </row>
    <row r="521" spans="1:9">
      <c r="B521" s="723"/>
      <c r="C521" s="723"/>
      <c r="D521" s="723"/>
      <c r="E521" s="723"/>
      <c r="F521" s="723"/>
    </row>
    <row r="522" spans="1:9">
      <c r="A522" s="723"/>
      <c r="B522" s="723"/>
      <c r="C522" s="723"/>
      <c r="D522" s="723"/>
      <c r="E522" s="723"/>
      <c r="F522" s="723"/>
    </row>
    <row r="523" spans="1:9">
      <c r="A523" s="723"/>
      <c r="B523" s="723"/>
      <c r="C523" s="723"/>
      <c r="D523" s="723"/>
      <c r="E523" s="723"/>
      <c r="F523" s="723"/>
    </row>
    <row r="524" spans="1:9">
      <c r="A524" s="723"/>
      <c r="B524" s="723"/>
      <c r="C524" s="723"/>
      <c r="D524" s="723"/>
      <c r="E524" s="723"/>
      <c r="F524" s="723"/>
    </row>
    <row r="525" spans="1:9">
      <c r="A525" s="723"/>
      <c r="B525" s="723"/>
      <c r="C525" s="723"/>
      <c r="D525" s="723"/>
      <c r="E525" s="723"/>
      <c r="F525" s="723"/>
    </row>
    <row r="526" spans="1:9">
      <c r="A526" s="723"/>
      <c r="B526" s="723"/>
      <c r="C526" s="723"/>
      <c r="D526" s="723"/>
      <c r="E526" s="723"/>
      <c r="F526" s="723"/>
    </row>
    <row r="527" spans="1:9">
      <c r="A527" s="723"/>
      <c r="B527" s="723"/>
      <c r="C527" s="723"/>
      <c r="D527" s="723"/>
      <c r="E527" s="723"/>
      <c r="F527" s="723"/>
    </row>
    <row r="528" spans="1:9">
      <c r="A528" s="723"/>
      <c r="B528" s="723"/>
      <c r="C528" s="723"/>
      <c r="D528" s="723"/>
      <c r="E528" s="723"/>
      <c r="F528" s="723"/>
    </row>
    <row r="529" spans="1:6">
      <c r="A529" s="723"/>
      <c r="B529" s="723"/>
      <c r="C529" s="723"/>
      <c r="D529" s="723"/>
      <c r="E529" s="723"/>
      <c r="F529" s="723"/>
    </row>
    <row r="530" spans="1:6">
      <c r="A530" s="723"/>
      <c r="B530" s="723"/>
      <c r="C530" s="723"/>
      <c r="D530" s="723"/>
      <c r="E530" s="723"/>
      <c r="F530" s="723"/>
    </row>
    <row r="531" spans="1:6">
      <c r="A531" s="723"/>
      <c r="B531" s="723"/>
      <c r="C531" s="723"/>
      <c r="D531" s="723"/>
      <c r="E531" s="723"/>
      <c r="F531" s="723"/>
    </row>
    <row r="532" spans="1:6">
      <c r="A532" s="723"/>
      <c r="B532" s="723"/>
      <c r="C532" s="723"/>
      <c r="D532" s="723"/>
      <c r="E532" s="723"/>
      <c r="F532" s="723"/>
    </row>
    <row r="533" spans="1:6">
      <c r="A533" s="723"/>
      <c r="B533" s="723"/>
      <c r="C533" s="723"/>
      <c r="D533" s="723"/>
      <c r="E533" s="723"/>
      <c r="F533" s="723"/>
    </row>
    <row r="534" spans="1:6">
      <c r="A534" s="723"/>
      <c r="B534" s="723"/>
      <c r="C534" s="723"/>
      <c r="D534" s="723"/>
      <c r="E534" s="723"/>
      <c r="F534" s="723"/>
    </row>
    <row r="535" spans="1:6">
      <c r="A535" s="723"/>
      <c r="B535" s="723"/>
      <c r="C535" s="723"/>
      <c r="D535" s="723"/>
      <c r="E535" s="723"/>
      <c r="F535" s="723"/>
    </row>
    <row r="536" spans="1:6">
      <c r="A536" s="723"/>
      <c r="B536" s="723"/>
      <c r="C536" s="723"/>
      <c r="D536" s="723"/>
      <c r="E536" s="723"/>
      <c r="F536" s="723"/>
    </row>
    <row r="537" spans="1:6">
      <c r="A537" s="723"/>
      <c r="B537" s="723"/>
      <c r="C537" s="723"/>
      <c r="D537" s="723"/>
      <c r="E537" s="723"/>
      <c r="F537" s="723"/>
    </row>
    <row r="538" spans="1:6">
      <c r="A538" s="723"/>
      <c r="B538" s="723"/>
      <c r="C538" s="723"/>
      <c r="D538" s="723"/>
      <c r="E538" s="723"/>
      <c r="F538" s="723"/>
    </row>
    <row r="539" spans="1:6">
      <c r="A539" s="723"/>
      <c r="B539" s="723"/>
      <c r="C539" s="723"/>
      <c r="D539" s="723"/>
      <c r="E539" s="723"/>
      <c r="F539" s="723"/>
    </row>
    <row r="540" spans="1:6">
      <c r="A540" s="723"/>
      <c r="B540" s="723"/>
      <c r="C540" s="723"/>
      <c r="D540" s="723"/>
      <c r="E540" s="723"/>
      <c r="F540" s="723"/>
    </row>
    <row r="541" spans="1:6">
      <c r="A541" s="723"/>
      <c r="B541" s="723"/>
      <c r="C541" s="723"/>
      <c r="D541" s="723"/>
      <c r="E541" s="723"/>
      <c r="F541" s="723"/>
    </row>
    <row r="542" spans="1:6">
      <c r="A542" s="723"/>
      <c r="B542" s="723"/>
      <c r="C542" s="723"/>
      <c r="D542" s="723"/>
      <c r="E542" s="723"/>
      <c r="F542" s="723"/>
    </row>
    <row r="543" spans="1:6">
      <c r="A543" s="723"/>
      <c r="B543" s="723"/>
      <c r="C543" s="723"/>
      <c r="D543" s="723"/>
      <c r="E543" s="723"/>
      <c r="F543" s="723"/>
    </row>
    <row r="544" spans="1:6">
      <c r="A544" s="723"/>
      <c r="B544" s="723"/>
      <c r="C544" s="723"/>
      <c r="D544" s="723"/>
      <c r="E544" s="723"/>
      <c r="F544" s="723"/>
    </row>
    <row r="545" spans="1:6">
      <c r="A545" s="723"/>
      <c r="B545" s="723"/>
      <c r="C545" s="723"/>
      <c r="D545" s="723"/>
      <c r="E545" s="723"/>
      <c r="F545" s="723"/>
    </row>
    <row r="546" spans="1:6">
      <c r="A546" s="723"/>
    </row>
  </sheetData>
  <printOptions gridLinesSet="0"/>
  <pageMargins left="0.78740157480314965" right="0" top="0.51181102362204722" bottom="0.51181102362204722" header="0.51181102362204722" footer="0.51181102362204722"/>
  <pageSetup paperSize="9" scale="63" orientation="portrait" horizontalDpi="300" verticalDpi="300" r:id="rId1"/>
  <headerFooter alignWithMargins="0">
    <oddFooter>&amp;C&amp;"Times New Roman,Regular"&amp;8&amp;P of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382"/>
  <sheetViews>
    <sheetView showGridLines="0" zoomScaleNormal="100" workbookViewId="0"/>
  </sheetViews>
  <sheetFormatPr defaultColWidth="12.59765625" defaultRowHeight="14.5"/>
  <cols>
    <col min="1" max="1" width="4.8984375" style="228" customWidth="1"/>
    <col min="2" max="2" width="51" style="228" customWidth="1"/>
    <col min="3" max="3" width="11.59765625" style="228" customWidth="1"/>
    <col min="4" max="4" width="10" style="228" customWidth="1"/>
    <col min="5" max="5" width="2.296875" style="228" customWidth="1"/>
    <col min="6" max="6" width="36.5" style="228" customWidth="1"/>
    <col min="7" max="16384" width="12.59765625" style="228"/>
  </cols>
  <sheetData>
    <row r="1" spans="1:6">
      <c r="A1" s="225" t="s">
        <v>1075</v>
      </c>
      <c r="B1" s="226"/>
      <c r="C1" s="226"/>
      <c r="D1" s="227">
        <v>2016</v>
      </c>
      <c r="E1" s="226"/>
    </row>
    <row r="2" spans="1:6">
      <c r="A2" s="226"/>
      <c r="B2" s="226"/>
      <c r="C2" s="226"/>
      <c r="D2" s="226"/>
      <c r="E2" s="226"/>
      <c r="F2" s="226"/>
    </row>
    <row r="3" spans="1:6">
      <c r="A3" s="225" t="s">
        <v>4517</v>
      </c>
      <c r="C3" s="225"/>
      <c r="D3" s="229">
        <f t="shared" ref="D3" si="0">SUM(D8:D14)</f>
        <v>496493</v>
      </c>
      <c r="E3" s="226"/>
    </row>
    <row r="4" spans="1:6">
      <c r="A4" s="225" t="s">
        <v>4518</v>
      </c>
      <c r="D4" s="229">
        <f>D66</f>
        <v>210775</v>
      </c>
      <c r="E4" s="226"/>
    </row>
    <row r="5" spans="1:6" ht="15" thickBot="1">
      <c r="A5" s="225" t="s">
        <v>4519</v>
      </c>
      <c r="C5" s="225"/>
      <c r="D5" s="230">
        <f t="shared" ref="D5" si="1">D98</f>
        <v>27355</v>
      </c>
      <c r="E5" s="226"/>
    </row>
    <row r="6" spans="1:6" ht="15" thickBot="1">
      <c r="A6" s="226"/>
      <c r="C6" s="226"/>
      <c r="D6" s="230">
        <f t="shared" ref="D6" si="2">SUM(D3:D5)</f>
        <v>734623</v>
      </c>
      <c r="E6" s="226"/>
    </row>
    <row r="7" spans="1:6">
      <c r="A7" s="226"/>
      <c r="C7" s="226"/>
      <c r="D7" s="231"/>
      <c r="E7" s="226"/>
      <c r="F7" s="226"/>
    </row>
    <row r="8" spans="1:6">
      <c r="A8" s="225" t="s">
        <v>4520</v>
      </c>
      <c r="C8" s="225"/>
      <c r="D8" s="229">
        <f t="shared" ref="D8" si="3">D123</f>
        <v>72073</v>
      </c>
      <c r="E8" s="226"/>
      <c r="F8" s="232"/>
    </row>
    <row r="9" spans="1:6">
      <c r="A9" s="225" t="s">
        <v>4521</v>
      </c>
      <c r="C9" s="225"/>
      <c r="D9" s="229">
        <f t="shared" ref="D9" si="4">D152</f>
        <v>127526</v>
      </c>
      <c r="E9" s="226"/>
      <c r="F9" s="232"/>
    </row>
    <row r="10" spans="1:6">
      <c r="A10" s="225" t="s">
        <v>4522</v>
      </c>
      <c r="C10" s="225"/>
      <c r="D10" s="229">
        <f t="shared" ref="D10" si="5">D192</f>
        <v>63449</v>
      </c>
      <c r="E10" s="226"/>
      <c r="F10" s="232"/>
    </row>
    <row r="11" spans="1:6">
      <c r="A11" s="225" t="s">
        <v>4523</v>
      </c>
      <c r="C11" s="225"/>
      <c r="D11" s="229">
        <f t="shared" ref="D11" si="6">D229</f>
        <v>83628</v>
      </c>
      <c r="E11" s="226"/>
      <c r="F11" s="232"/>
    </row>
    <row r="12" spans="1:6">
      <c r="A12" s="225" t="s">
        <v>4524</v>
      </c>
      <c r="C12" s="225"/>
      <c r="D12" s="229">
        <f t="shared" ref="D12" si="7">D255</f>
        <v>36820</v>
      </c>
      <c r="E12" s="226"/>
      <c r="F12" s="232"/>
    </row>
    <row r="13" spans="1:6">
      <c r="A13" s="225" t="s">
        <v>4525</v>
      </c>
      <c r="C13" s="225"/>
      <c r="D13" s="229">
        <f t="shared" ref="D13" si="8">D280</f>
        <v>71377</v>
      </c>
      <c r="E13" s="226"/>
      <c r="F13" s="232"/>
    </row>
    <row r="14" spans="1:6">
      <c r="A14" s="225" t="s">
        <v>4526</v>
      </c>
      <c r="C14" s="225"/>
      <c r="D14" s="229">
        <f t="shared" ref="D14" si="9">D328</f>
        <v>41620</v>
      </c>
      <c r="E14" s="226"/>
      <c r="F14" s="232"/>
    </row>
    <row r="15" spans="1:6">
      <c r="A15" s="226"/>
      <c r="B15" s="226"/>
      <c r="C15" s="226"/>
      <c r="D15" s="226"/>
      <c r="E15" s="226"/>
      <c r="F15" s="226"/>
    </row>
    <row r="16" spans="1:6">
      <c r="A16" s="225" t="s">
        <v>4527</v>
      </c>
      <c r="D16" s="229">
        <f t="shared" ref="D16" si="10">D247</f>
        <v>68066</v>
      </c>
      <c r="E16" s="226"/>
      <c r="F16" s="225" t="s">
        <v>4528</v>
      </c>
    </row>
    <row r="17" spans="1:6" ht="15" thickBot="1">
      <c r="A17" s="225"/>
      <c r="D17" s="230">
        <f>D320</f>
        <v>9495</v>
      </c>
      <c r="E17" s="226"/>
      <c r="F17" s="225" t="s">
        <v>4529</v>
      </c>
    </row>
    <row r="18" spans="1:6" ht="15" thickBot="1">
      <c r="A18" s="225"/>
      <c r="D18" s="230">
        <f>SUM(D16:D17)</f>
        <v>77561</v>
      </c>
      <c r="E18" s="226"/>
      <c r="F18" s="225"/>
    </row>
    <row r="19" spans="1:6">
      <c r="A19" s="226"/>
      <c r="D19" s="231"/>
      <c r="E19" s="226"/>
      <c r="F19" s="226"/>
    </row>
    <row r="20" spans="1:6">
      <c r="A20" s="225" t="s">
        <v>4530</v>
      </c>
      <c r="D20" s="229">
        <f>D248</f>
        <v>15562</v>
      </c>
      <c r="E20" s="226"/>
      <c r="F20" s="225" t="s">
        <v>4528</v>
      </c>
    </row>
    <row r="21" spans="1:6" ht="15" thickBot="1">
      <c r="A21" s="226"/>
      <c r="D21" s="230">
        <f t="shared" ref="D21" si="11">D182</f>
        <v>56732</v>
      </c>
      <c r="E21" s="226"/>
      <c r="F21" s="225" t="s">
        <v>4531</v>
      </c>
    </row>
    <row r="22" spans="1:6" ht="15" thickBot="1">
      <c r="A22" s="226"/>
      <c r="D22" s="230">
        <f>SUM(D20:D21)</f>
        <v>72294</v>
      </c>
      <c r="E22" s="226"/>
      <c r="F22" s="226"/>
    </row>
    <row r="23" spans="1:6">
      <c r="A23" s="226"/>
      <c r="D23" s="231"/>
      <c r="E23" s="226"/>
      <c r="F23" s="226"/>
    </row>
    <row r="24" spans="1:6">
      <c r="A24" s="226" t="s">
        <v>4532</v>
      </c>
      <c r="D24" s="231">
        <f>NORTHAMPTONSHIRE!D17</f>
        <v>48244</v>
      </c>
      <c r="E24" s="226"/>
      <c r="F24" s="226" t="s">
        <v>4533</v>
      </c>
    </row>
    <row r="25" spans="1:6">
      <c r="A25" s="226"/>
      <c r="D25" s="233">
        <f>D219</f>
        <v>15886</v>
      </c>
      <c r="E25" s="226"/>
      <c r="F25" s="225" t="s">
        <v>4534</v>
      </c>
    </row>
    <row r="26" spans="1:6" ht="15" thickBot="1">
      <c r="A26" s="226"/>
      <c r="D26" s="234">
        <f>NORTHAMPTONSHIRE!D19</f>
        <v>7450</v>
      </c>
      <c r="E26" s="226"/>
      <c r="F26" s="235" t="s">
        <v>4535</v>
      </c>
    </row>
    <row r="27" spans="1:6" ht="15" thickBot="1">
      <c r="A27" s="226"/>
      <c r="D27" s="230">
        <f>SUM(D24:D26)</f>
        <v>71580</v>
      </c>
      <c r="E27" s="226"/>
      <c r="F27" s="226"/>
    </row>
    <row r="28" spans="1:6">
      <c r="A28" s="226"/>
      <c r="D28" s="231"/>
      <c r="E28" s="226"/>
      <c r="F28" s="226"/>
    </row>
    <row r="29" spans="1:6">
      <c r="A29" s="225" t="s">
        <v>4536</v>
      </c>
      <c r="D29" s="229">
        <f t="shared" ref="D29" si="12">D220</f>
        <v>31451</v>
      </c>
      <c r="E29" s="226"/>
      <c r="F29" s="225" t="s">
        <v>4534</v>
      </c>
    </row>
    <row r="30" spans="1:6" ht="15" thickBot="1">
      <c r="A30" s="226"/>
      <c r="D30" s="230">
        <f t="shared" ref="D30" si="13">D340</f>
        <v>41620</v>
      </c>
      <c r="E30" s="226"/>
      <c r="F30" s="225" t="s">
        <v>4055</v>
      </c>
    </row>
    <row r="31" spans="1:6" ht="15" thickBot="1">
      <c r="A31" s="226"/>
      <c r="D31" s="230">
        <f t="shared" ref="D31" si="14">D29+D30</f>
        <v>73071</v>
      </c>
      <c r="E31" s="226"/>
      <c r="F31" s="226"/>
    </row>
    <row r="32" spans="1:6">
      <c r="A32" s="226"/>
      <c r="D32" s="231"/>
      <c r="E32" s="226"/>
      <c r="F32" s="226"/>
    </row>
    <row r="33" spans="1:6">
      <c r="A33" s="225" t="s">
        <v>4537</v>
      </c>
      <c r="D33" s="229">
        <f>D89</f>
        <v>75755</v>
      </c>
      <c r="E33" s="226"/>
      <c r="F33" s="225" t="s">
        <v>4538</v>
      </c>
    </row>
    <row r="34" spans="1:6">
      <c r="A34" s="226"/>
      <c r="D34" s="231"/>
      <c r="E34" s="226"/>
      <c r="F34" s="226"/>
    </row>
    <row r="35" spans="1:6">
      <c r="A35" s="225" t="s">
        <v>4539</v>
      </c>
      <c r="D35" s="229">
        <f>D90</f>
        <v>72227</v>
      </c>
      <c r="E35" s="226"/>
      <c r="F35" s="225" t="s">
        <v>4538</v>
      </c>
    </row>
    <row r="36" spans="1:6">
      <c r="A36" s="226"/>
      <c r="D36" s="231"/>
      <c r="E36" s="226"/>
      <c r="F36" s="226"/>
    </row>
    <row r="37" spans="1:6">
      <c r="A37" s="225" t="s">
        <v>4540</v>
      </c>
      <c r="D37" s="231">
        <f>D143</f>
        <v>11950</v>
      </c>
      <c r="E37" s="226"/>
      <c r="F37" s="226" t="s">
        <v>4541</v>
      </c>
    </row>
    <row r="38" spans="1:6" ht="15" thickBot="1">
      <c r="D38" s="230">
        <f>D91</f>
        <v>62793</v>
      </c>
      <c r="E38" s="226"/>
      <c r="F38" s="225" t="s">
        <v>4538</v>
      </c>
    </row>
    <row r="39" spans="1:6" ht="15" thickBot="1">
      <c r="A39" s="225"/>
      <c r="D39" s="230">
        <f t="shared" ref="D39" si="15">D37+D38</f>
        <v>74743</v>
      </c>
      <c r="E39" s="226"/>
      <c r="F39" s="225"/>
    </row>
    <row r="40" spans="1:6">
      <c r="A40" s="226"/>
      <c r="D40" s="231"/>
      <c r="E40" s="226"/>
      <c r="F40" s="226"/>
    </row>
    <row r="41" spans="1:6">
      <c r="A41" s="236" t="s">
        <v>4542</v>
      </c>
      <c r="D41" s="229">
        <f t="shared" ref="D41" si="16">D183</f>
        <v>55456</v>
      </c>
      <c r="E41" s="226"/>
      <c r="F41" s="225" t="s">
        <v>4531</v>
      </c>
    </row>
    <row r="42" spans="1:6" ht="15" thickBot="1">
      <c r="A42" s="225"/>
      <c r="D42" s="230">
        <f>NOTTINGHAMSHIRE!D27</f>
        <v>17618</v>
      </c>
      <c r="E42" s="226"/>
      <c r="F42" s="225" t="s">
        <v>4543</v>
      </c>
    </row>
    <row r="43" spans="1:6" ht="15" thickBot="1">
      <c r="A43" s="225"/>
      <c r="D43" s="230">
        <f t="shared" ref="D43" si="17">D41+D42</f>
        <v>73074</v>
      </c>
      <c r="E43" s="226"/>
      <c r="F43" s="225"/>
    </row>
    <row r="44" spans="1:6">
      <c r="A44" s="226"/>
      <c r="D44" s="231"/>
      <c r="E44" s="226"/>
      <c r="F44" s="226"/>
    </row>
    <row r="45" spans="1:6">
      <c r="A45" s="225" t="s">
        <v>4544</v>
      </c>
      <c r="D45" s="231">
        <f>D184</f>
        <v>10512</v>
      </c>
      <c r="E45" s="226"/>
      <c r="F45" s="225" t="s">
        <v>4531</v>
      </c>
    </row>
    <row r="46" spans="1:6" ht="15" thickBot="1">
      <c r="D46" s="230">
        <f t="shared" ref="D46" si="18">D321</f>
        <v>61882</v>
      </c>
      <c r="E46" s="226"/>
      <c r="F46" s="225" t="s">
        <v>4529</v>
      </c>
    </row>
    <row r="47" spans="1:6" ht="15" thickBot="1">
      <c r="A47" s="225"/>
      <c r="D47" s="230">
        <f t="shared" ref="D47" si="19">D45+D46</f>
        <v>72394</v>
      </c>
      <c r="E47" s="226"/>
      <c r="F47" s="225"/>
    </row>
    <row r="48" spans="1:6">
      <c r="A48" s="226"/>
      <c r="D48" s="231"/>
      <c r="E48" s="226"/>
      <c r="F48" s="226"/>
    </row>
    <row r="49" spans="1:6">
      <c r="A49" s="225" t="s">
        <v>4545</v>
      </c>
      <c r="D49" s="231">
        <f>D185</f>
        <v>4826</v>
      </c>
      <c r="E49" s="226"/>
      <c r="F49" s="225" t="s">
        <v>4531</v>
      </c>
    </row>
    <row r="50" spans="1:6">
      <c r="D50" s="229">
        <f t="shared" ref="D50" si="20">D221</f>
        <v>4652</v>
      </c>
      <c r="E50" s="226"/>
      <c r="F50" s="225" t="s">
        <v>4534</v>
      </c>
    </row>
    <row r="51" spans="1:6">
      <c r="A51" s="226"/>
      <c r="B51" s="226"/>
      <c r="C51" s="226"/>
      <c r="D51" s="229">
        <f t="shared" ref="D51" si="21">D273</f>
        <v>36820</v>
      </c>
      <c r="E51" s="226"/>
      <c r="F51" s="225" t="s">
        <v>4053</v>
      </c>
    </row>
    <row r="52" spans="1:6" ht="15" thickBot="1">
      <c r="A52" s="226"/>
      <c r="B52" s="226"/>
      <c r="C52" s="226"/>
      <c r="D52" s="230">
        <f t="shared" ref="D52" si="22">D116</f>
        <v>27355</v>
      </c>
      <c r="E52" s="226"/>
      <c r="F52" s="225" t="s">
        <v>4546</v>
      </c>
    </row>
    <row r="53" spans="1:6" ht="15" thickBot="1">
      <c r="A53" s="226"/>
      <c r="B53" s="226"/>
      <c r="C53" s="226"/>
      <c r="D53" s="230">
        <f>SUM(D49:D52)</f>
        <v>73653</v>
      </c>
      <c r="E53" s="226"/>
      <c r="F53" s="226"/>
    </row>
    <row r="54" spans="1:6">
      <c r="A54" s="226"/>
      <c r="B54" s="226"/>
      <c r="C54" s="226"/>
      <c r="D54" s="237"/>
      <c r="E54" s="226"/>
      <c r="F54" s="226"/>
    </row>
    <row r="55" spans="1:6">
      <c r="A55" s="225" t="s">
        <v>4547</v>
      </c>
      <c r="D55" s="229">
        <f t="shared" ref="D55" si="23">D144</f>
        <v>60123</v>
      </c>
      <c r="E55" s="226"/>
      <c r="F55" s="225" t="s">
        <v>4541</v>
      </c>
    </row>
    <row r="56" spans="1:6" ht="15" thickBot="1">
      <c r="A56" s="226"/>
      <c r="D56" s="230">
        <f t="shared" ref="D56" si="24">D222</f>
        <v>11460</v>
      </c>
      <c r="E56" s="226"/>
      <c r="F56" s="225" t="s">
        <v>4534</v>
      </c>
    </row>
    <row r="57" spans="1:6" ht="15" thickBot="1">
      <c r="A57" s="226"/>
      <c r="D57" s="230">
        <f t="shared" ref="D57" si="25">D55+D56</f>
        <v>71583</v>
      </c>
      <c r="E57" s="226"/>
      <c r="F57" s="226"/>
    </row>
    <row r="58" spans="1:6">
      <c r="A58" s="226"/>
      <c r="B58" s="226"/>
      <c r="C58" s="226"/>
      <c r="D58" s="231"/>
      <c r="E58" s="226"/>
      <c r="F58" s="226"/>
    </row>
    <row r="59" spans="1:6">
      <c r="A59" s="225" t="s">
        <v>1041</v>
      </c>
      <c r="B59" s="226"/>
      <c r="C59" s="226"/>
      <c r="D59" s="229">
        <f>D18+D22+D25+D31+D33+D35+D39+D41+D47+D53+D57</f>
        <v>734623</v>
      </c>
      <c r="E59" s="226"/>
      <c r="F59" s="226"/>
    </row>
    <row r="60" spans="1:6">
      <c r="A60" s="226"/>
      <c r="B60" s="226"/>
      <c r="C60" s="226"/>
      <c r="D60" s="231"/>
      <c r="E60" s="226"/>
      <c r="F60" s="226"/>
    </row>
    <row r="61" spans="1:6">
      <c r="A61" s="225" t="s">
        <v>4548</v>
      </c>
      <c r="B61" s="226"/>
      <c r="C61" s="226"/>
      <c r="D61" s="226"/>
      <c r="E61" s="226"/>
      <c r="F61" s="226"/>
    </row>
    <row r="62" spans="1:6">
      <c r="A62" s="225"/>
      <c r="B62" s="226"/>
      <c r="C62" s="226"/>
      <c r="D62" s="226"/>
      <c r="E62" s="226"/>
      <c r="F62" s="226"/>
    </row>
    <row r="63" spans="1:6">
      <c r="A63" s="225"/>
      <c r="B63" s="226"/>
      <c r="C63" s="226"/>
      <c r="D63" s="226"/>
      <c r="E63" s="226"/>
      <c r="F63" s="226"/>
    </row>
    <row r="64" spans="1:6">
      <c r="A64" s="225"/>
      <c r="B64" s="226"/>
      <c r="C64" s="226"/>
      <c r="D64" s="10" t="s">
        <v>285</v>
      </c>
      <c r="E64" s="38"/>
      <c r="F64" s="38" t="s">
        <v>4116</v>
      </c>
    </row>
    <row r="65" spans="1:6">
      <c r="A65" s="225"/>
      <c r="B65" s="226"/>
      <c r="C65" s="226"/>
      <c r="D65" s="39">
        <v>2016</v>
      </c>
      <c r="E65" s="226"/>
      <c r="F65" s="41" t="s">
        <v>286</v>
      </c>
    </row>
    <row r="66" spans="1:6">
      <c r="A66" s="225" t="s">
        <v>4518</v>
      </c>
      <c r="B66" s="226"/>
      <c r="C66" s="226"/>
      <c r="D66" s="231">
        <f>SUM(D67:D87)</f>
        <v>210775</v>
      </c>
      <c r="E66" s="226"/>
      <c r="F66" s="226"/>
    </row>
    <row r="67" spans="1:6">
      <c r="A67" s="225" t="s">
        <v>812</v>
      </c>
      <c r="B67" s="225" t="s">
        <v>998</v>
      </c>
      <c r="C67" s="1" t="s">
        <v>4549</v>
      </c>
      <c r="D67" s="8">
        <v>11923</v>
      </c>
      <c r="E67" s="226"/>
      <c r="F67" s="225" t="s">
        <v>4540</v>
      </c>
    </row>
    <row r="68" spans="1:6">
      <c r="A68" s="225" t="s">
        <v>813</v>
      </c>
      <c r="B68" s="225" t="s">
        <v>4550</v>
      </c>
      <c r="C68" s="1" t="s">
        <v>4551</v>
      </c>
      <c r="D68" s="7">
        <v>8136</v>
      </c>
      <c r="E68" s="226"/>
      <c r="F68" s="225" t="s">
        <v>4539</v>
      </c>
    </row>
    <row r="69" spans="1:6">
      <c r="A69" s="225" t="s">
        <v>814</v>
      </c>
      <c r="B69" s="225" t="s">
        <v>4552</v>
      </c>
      <c r="C69" s="1" t="s">
        <v>4553</v>
      </c>
      <c r="D69" s="8">
        <v>11412</v>
      </c>
      <c r="E69" s="226"/>
      <c r="F69" s="225" t="s">
        <v>4540</v>
      </c>
    </row>
    <row r="70" spans="1:6">
      <c r="A70" s="225" t="s">
        <v>815</v>
      </c>
      <c r="B70" s="225" t="s">
        <v>3129</v>
      </c>
      <c r="C70" s="1" t="s">
        <v>4554</v>
      </c>
      <c r="D70" s="7">
        <v>11199</v>
      </c>
      <c r="E70" s="226"/>
      <c r="F70" s="225" t="s">
        <v>4537</v>
      </c>
    </row>
    <row r="71" spans="1:6">
      <c r="A71" s="225" t="s">
        <v>816</v>
      </c>
      <c r="B71" s="225" t="s">
        <v>4555</v>
      </c>
      <c r="C71" s="1" t="s">
        <v>4556</v>
      </c>
      <c r="D71" s="8">
        <v>12260</v>
      </c>
      <c r="E71" s="226"/>
      <c r="F71" s="225" t="s">
        <v>4540</v>
      </c>
    </row>
    <row r="72" spans="1:6">
      <c r="A72" s="225" t="s">
        <v>826</v>
      </c>
      <c r="B72" s="225" t="s">
        <v>883</v>
      </c>
      <c r="C72" s="1" t="s">
        <v>4557</v>
      </c>
      <c r="D72" s="7">
        <v>9148</v>
      </c>
      <c r="E72" s="226"/>
      <c r="F72" s="225" t="s">
        <v>4539</v>
      </c>
    </row>
    <row r="73" spans="1:6">
      <c r="A73" s="225" t="s">
        <v>827</v>
      </c>
      <c r="B73" s="225" t="s">
        <v>4558</v>
      </c>
      <c r="C73" s="1" t="s">
        <v>4559</v>
      </c>
      <c r="D73" s="7">
        <v>12158</v>
      </c>
      <c r="E73" s="226"/>
      <c r="F73" s="225" t="s">
        <v>4537</v>
      </c>
    </row>
    <row r="74" spans="1:6">
      <c r="A74" s="225" t="s">
        <v>828</v>
      </c>
      <c r="B74" s="225" t="s">
        <v>4560</v>
      </c>
      <c r="C74" s="1" t="s">
        <v>4561</v>
      </c>
      <c r="D74" s="7">
        <v>7780</v>
      </c>
      <c r="E74" s="226"/>
      <c r="F74" s="225" t="s">
        <v>4539</v>
      </c>
    </row>
    <row r="75" spans="1:6">
      <c r="A75" s="225" t="s">
        <v>829</v>
      </c>
      <c r="B75" s="225" t="s">
        <v>4562</v>
      </c>
      <c r="C75" s="1" t="s">
        <v>4563</v>
      </c>
      <c r="D75" s="8">
        <v>7366</v>
      </c>
      <c r="E75" s="226"/>
      <c r="F75" s="225" t="s">
        <v>4540</v>
      </c>
    </row>
    <row r="76" spans="1:6">
      <c r="A76" s="225" t="s">
        <v>830</v>
      </c>
      <c r="B76" s="225" t="s">
        <v>4564</v>
      </c>
      <c r="C76" s="1" t="s">
        <v>4565</v>
      </c>
      <c r="D76" s="7">
        <v>12388</v>
      </c>
      <c r="E76" s="226"/>
      <c r="F76" s="225" t="s">
        <v>4537</v>
      </c>
    </row>
    <row r="77" spans="1:6">
      <c r="A77" s="225" t="s">
        <v>831</v>
      </c>
      <c r="B77" s="225" t="s">
        <v>4566</v>
      </c>
      <c r="C77" s="1" t="s">
        <v>4567</v>
      </c>
      <c r="D77" s="7">
        <v>12263</v>
      </c>
      <c r="E77" s="226"/>
      <c r="F77" s="225" t="s">
        <v>4539</v>
      </c>
    </row>
    <row r="78" spans="1:6">
      <c r="A78" s="225" t="s">
        <v>832</v>
      </c>
      <c r="B78" s="225" t="s">
        <v>4568</v>
      </c>
      <c r="C78" s="1" t="s">
        <v>4569</v>
      </c>
      <c r="D78" s="7">
        <v>11328</v>
      </c>
      <c r="E78" s="226"/>
      <c r="F78" s="225" t="s">
        <v>4537</v>
      </c>
    </row>
    <row r="79" spans="1:6">
      <c r="A79" s="225" t="s">
        <v>833</v>
      </c>
      <c r="B79" s="225" t="s">
        <v>4570</v>
      </c>
      <c r="C79" s="1" t="s">
        <v>4571</v>
      </c>
      <c r="D79" s="7">
        <v>12248</v>
      </c>
      <c r="E79" s="226"/>
      <c r="F79" s="225" t="s">
        <v>4537</v>
      </c>
    </row>
    <row r="80" spans="1:6">
      <c r="A80" s="225" t="s">
        <v>834</v>
      </c>
      <c r="B80" s="225" t="s">
        <v>4572</v>
      </c>
      <c r="C80" s="1" t="s">
        <v>4573</v>
      </c>
      <c r="D80" s="7">
        <v>6578</v>
      </c>
      <c r="E80" s="226"/>
      <c r="F80" s="225" t="s">
        <v>4539</v>
      </c>
    </row>
    <row r="81" spans="1:6">
      <c r="A81" s="225" t="s">
        <v>835</v>
      </c>
      <c r="B81" s="225" t="s">
        <v>4574</v>
      </c>
      <c r="C81" s="1" t="s">
        <v>4575</v>
      </c>
      <c r="D81" s="7">
        <v>8542</v>
      </c>
      <c r="E81" s="226"/>
      <c r="F81" s="225" t="s">
        <v>4539</v>
      </c>
    </row>
    <row r="82" spans="1:6">
      <c r="A82" s="225" t="s">
        <v>836</v>
      </c>
      <c r="B82" s="225" t="s">
        <v>4576</v>
      </c>
      <c r="C82" s="1" t="s">
        <v>4577</v>
      </c>
      <c r="D82" s="7">
        <v>11842</v>
      </c>
      <c r="E82" s="226"/>
      <c r="F82" s="225" t="s">
        <v>4539</v>
      </c>
    </row>
    <row r="83" spans="1:6">
      <c r="A83" s="225" t="s">
        <v>837</v>
      </c>
      <c r="B83" s="225" t="s">
        <v>4578</v>
      </c>
      <c r="C83" s="1" t="s">
        <v>4579</v>
      </c>
      <c r="D83" s="7">
        <v>7980</v>
      </c>
      <c r="E83" s="226"/>
      <c r="F83" s="225" t="s">
        <v>4537</v>
      </c>
    </row>
    <row r="84" spans="1:6">
      <c r="A84" s="225" t="s">
        <v>838</v>
      </c>
      <c r="B84" s="225" t="s">
        <v>4580</v>
      </c>
      <c r="C84" s="1" t="s">
        <v>4581</v>
      </c>
      <c r="D84" s="7">
        <v>8454</v>
      </c>
      <c r="E84" s="226"/>
      <c r="F84" s="225" t="s">
        <v>4537</v>
      </c>
    </row>
    <row r="85" spans="1:6">
      <c r="A85" s="225" t="s">
        <v>840</v>
      </c>
      <c r="B85" s="225" t="s">
        <v>4582</v>
      </c>
      <c r="C85" s="1" t="s">
        <v>4583</v>
      </c>
      <c r="D85" s="8">
        <v>6724</v>
      </c>
      <c r="E85" s="226"/>
      <c r="F85" s="225" t="s">
        <v>4540</v>
      </c>
    </row>
    <row r="86" spans="1:6">
      <c r="A86" s="225" t="s">
        <v>841</v>
      </c>
      <c r="B86" s="225" t="s">
        <v>4584</v>
      </c>
      <c r="C86" s="1" t="s">
        <v>4585</v>
      </c>
      <c r="D86" s="8">
        <v>13108</v>
      </c>
      <c r="E86" s="226"/>
      <c r="F86" s="225" t="s">
        <v>4540</v>
      </c>
    </row>
    <row r="87" spans="1:6">
      <c r="A87" s="225" t="s">
        <v>878</v>
      </c>
      <c r="B87" s="225" t="s">
        <v>4586</v>
      </c>
      <c r="C87" s="1" t="s">
        <v>4587</v>
      </c>
      <c r="D87" s="7">
        <v>7938</v>
      </c>
      <c r="E87" s="226"/>
      <c r="F87" s="225" t="s">
        <v>4539</v>
      </c>
    </row>
    <row r="88" spans="1:6">
      <c r="A88" s="226"/>
      <c r="B88" s="226"/>
      <c r="C88" s="226"/>
      <c r="D88" s="231"/>
      <c r="E88" s="226"/>
      <c r="F88" s="226"/>
    </row>
    <row r="89" spans="1:6">
      <c r="A89" s="225" t="s">
        <v>4537</v>
      </c>
      <c r="B89" s="226"/>
      <c r="C89" s="226"/>
      <c r="D89" s="231">
        <f>D70+D73+D76+D78+D79+D83+D84</f>
        <v>75755</v>
      </c>
      <c r="E89" s="226"/>
      <c r="F89" s="226"/>
    </row>
    <row r="90" spans="1:6">
      <c r="A90" s="225" t="s">
        <v>4539</v>
      </c>
      <c r="B90" s="226"/>
      <c r="C90" s="226"/>
      <c r="D90" s="231">
        <f>D68+D72+D74+D77+SUM(D80:D82)+D87</f>
        <v>72227</v>
      </c>
      <c r="E90" s="226"/>
      <c r="F90" s="226"/>
    </row>
    <row r="91" spans="1:6">
      <c r="A91" s="225" t="s">
        <v>4588</v>
      </c>
      <c r="B91" s="226"/>
      <c r="C91" s="226"/>
      <c r="D91" s="231">
        <f>D67+D69+D71+D75+D85+D86</f>
        <v>62793</v>
      </c>
      <c r="E91" s="226"/>
      <c r="F91" s="226"/>
    </row>
    <row r="92" spans="1:6">
      <c r="A92" s="225"/>
      <c r="B92" s="226"/>
      <c r="C92" s="226"/>
      <c r="D92" s="226"/>
      <c r="E92" s="226"/>
      <c r="F92" s="226"/>
    </row>
    <row r="93" spans="1:6">
      <c r="A93" s="225" t="s">
        <v>4589</v>
      </c>
      <c r="B93" s="226"/>
      <c r="C93" s="226"/>
      <c r="D93" s="226"/>
      <c r="E93" s="226"/>
      <c r="F93" s="226"/>
    </row>
    <row r="94" spans="1:6">
      <c r="A94" s="225"/>
      <c r="B94" s="226"/>
      <c r="C94" s="226"/>
      <c r="D94" s="226"/>
      <c r="E94" s="226"/>
      <c r="F94" s="226"/>
    </row>
    <row r="95" spans="1:6">
      <c r="A95" s="42"/>
      <c r="B95" s="226"/>
      <c r="C95" s="226"/>
      <c r="D95" s="226"/>
      <c r="E95" s="226"/>
      <c r="F95" s="226"/>
    </row>
    <row r="96" spans="1:6">
      <c r="A96" s="226"/>
      <c r="B96" s="226"/>
      <c r="C96" s="226"/>
      <c r="D96" s="10" t="s">
        <v>285</v>
      </c>
      <c r="E96" s="38"/>
      <c r="F96" s="38" t="s">
        <v>4116</v>
      </c>
    </row>
    <row r="97" spans="1:9">
      <c r="A97" s="226"/>
      <c r="B97" s="226"/>
      <c r="C97" s="226"/>
      <c r="D97" s="39">
        <v>2016</v>
      </c>
      <c r="E97" s="226"/>
      <c r="F97" s="41" t="s">
        <v>286</v>
      </c>
    </row>
    <row r="98" spans="1:9">
      <c r="A98" s="225" t="s">
        <v>4519</v>
      </c>
      <c r="C98" s="225"/>
      <c r="D98" s="229">
        <f t="shared" ref="D98" si="26">SUM(D99:D114)</f>
        <v>27355</v>
      </c>
      <c r="E98" s="226"/>
      <c r="F98" s="226"/>
    </row>
    <row r="99" spans="1:9">
      <c r="A99" s="225" t="s">
        <v>812</v>
      </c>
      <c r="B99" s="225" t="s">
        <v>4590</v>
      </c>
      <c r="C99" s="1" t="s">
        <v>4591</v>
      </c>
      <c r="D99" s="13">
        <v>1043</v>
      </c>
      <c r="E99" s="226"/>
      <c r="F99" s="225" t="s">
        <v>4545</v>
      </c>
      <c r="G99" s="1"/>
      <c r="I99" s="1"/>
    </row>
    <row r="100" spans="1:9">
      <c r="A100" s="225" t="s">
        <v>813</v>
      </c>
      <c r="B100" s="225" t="s">
        <v>4592</v>
      </c>
      <c r="C100" s="1" t="s">
        <v>4593</v>
      </c>
      <c r="D100" s="13">
        <v>2109</v>
      </c>
      <c r="E100" s="226"/>
      <c r="F100" s="225" t="s">
        <v>4545</v>
      </c>
      <c r="G100" s="1"/>
      <c r="I100" s="1"/>
    </row>
    <row r="101" spans="1:9">
      <c r="A101" s="225" t="s">
        <v>814</v>
      </c>
      <c r="B101" s="225" t="s">
        <v>4594</v>
      </c>
      <c r="C101" s="1" t="s">
        <v>4595</v>
      </c>
      <c r="D101" s="13">
        <v>1133</v>
      </c>
      <c r="E101" s="226"/>
      <c r="F101" s="225" t="s">
        <v>4545</v>
      </c>
      <c r="G101" s="1"/>
      <c r="I101" s="1"/>
    </row>
    <row r="102" spans="1:9">
      <c r="A102" s="225" t="s">
        <v>815</v>
      </c>
      <c r="B102" s="225" t="s">
        <v>4596</v>
      </c>
      <c r="C102" s="1" t="s">
        <v>4597</v>
      </c>
      <c r="D102" s="13">
        <v>983</v>
      </c>
      <c r="E102" s="226"/>
      <c r="F102" s="225" t="s">
        <v>4545</v>
      </c>
      <c r="G102" s="1"/>
      <c r="I102" s="1"/>
    </row>
    <row r="103" spans="1:9">
      <c r="A103" s="225" t="s">
        <v>816</v>
      </c>
      <c r="B103" s="225" t="s">
        <v>4598</v>
      </c>
      <c r="C103" s="1" t="s">
        <v>4599</v>
      </c>
      <c r="D103" s="13">
        <v>2165</v>
      </c>
      <c r="E103" s="226"/>
      <c r="F103" s="225" t="s">
        <v>4545</v>
      </c>
      <c r="G103" s="1"/>
      <c r="I103" s="1"/>
    </row>
    <row r="104" spans="1:9">
      <c r="A104" s="225" t="s">
        <v>826</v>
      </c>
      <c r="B104" s="225" t="s">
        <v>4600</v>
      </c>
      <c r="C104" s="1" t="s">
        <v>4601</v>
      </c>
      <c r="D104" s="13">
        <v>1092</v>
      </c>
      <c r="E104" s="226"/>
      <c r="F104" s="225" t="s">
        <v>4545</v>
      </c>
      <c r="G104" s="1"/>
      <c r="I104" s="1"/>
    </row>
    <row r="105" spans="1:9">
      <c r="A105" s="225" t="s">
        <v>827</v>
      </c>
      <c r="B105" s="225" t="s">
        <v>4602</v>
      </c>
      <c r="C105" s="1" t="s">
        <v>4603</v>
      </c>
      <c r="D105" s="13">
        <v>1092</v>
      </c>
      <c r="E105" s="226"/>
      <c r="F105" s="225" t="s">
        <v>4545</v>
      </c>
      <c r="G105" s="1"/>
      <c r="I105" s="1"/>
    </row>
    <row r="106" spans="1:9">
      <c r="A106" s="225" t="s">
        <v>828</v>
      </c>
      <c r="B106" s="225" t="s">
        <v>4604</v>
      </c>
      <c r="C106" s="1" t="s">
        <v>4605</v>
      </c>
      <c r="D106" s="13">
        <v>887</v>
      </c>
      <c r="E106" s="226"/>
      <c r="F106" s="225" t="s">
        <v>4545</v>
      </c>
      <c r="G106" s="1"/>
      <c r="I106" s="1"/>
    </row>
    <row r="107" spans="1:9">
      <c r="A107" s="225" t="s">
        <v>829</v>
      </c>
      <c r="B107" s="225" t="s">
        <v>4141</v>
      </c>
      <c r="C107" s="1" t="s">
        <v>4606</v>
      </c>
      <c r="D107" s="13">
        <v>2341</v>
      </c>
      <c r="E107" s="226"/>
      <c r="F107" s="225" t="s">
        <v>4545</v>
      </c>
      <c r="G107" s="1"/>
      <c r="I107" s="1"/>
    </row>
    <row r="108" spans="1:9">
      <c r="A108" s="225" t="s">
        <v>830</v>
      </c>
      <c r="B108" s="225" t="s">
        <v>4607</v>
      </c>
      <c r="C108" s="1" t="s">
        <v>4608</v>
      </c>
      <c r="D108" s="13">
        <v>1916</v>
      </c>
      <c r="E108" s="226"/>
      <c r="F108" s="225" t="s">
        <v>4545</v>
      </c>
      <c r="G108" s="1"/>
      <c r="I108" s="1"/>
    </row>
    <row r="109" spans="1:9">
      <c r="A109" s="225" t="s">
        <v>831</v>
      </c>
      <c r="B109" s="225" t="s">
        <v>4609</v>
      </c>
      <c r="C109" s="1" t="s">
        <v>4610</v>
      </c>
      <c r="D109" s="13">
        <v>2894</v>
      </c>
      <c r="E109" s="226"/>
      <c r="F109" s="225" t="s">
        <v>4545</v>
      </c>
      <c r="G109" s="1"/>
      <c r="I109" s="1"/>
    </row>
    <row r="110" spans="1:9">
      <c r="A110" s="225" t="s">
        <v>832</v>
      </c>
      <c r="B110" s="225" t="s">
        <v>4611</v>
      </c>
      <c r="C110" s="1" t="s">
        <v>4612</v>
      </c>
      <c r="D110" s="13">
        <v>1936</v>
      </c>
      <c r="E110" s="226"/>
      <c r="F110" s="225" t="s">
        <v>4545</v>
      </c>
      <c r="G110" s="1"/>
      <c r="I110" s="1"/>
    </row>
    <row r="111" spans="1:9">
      <c r="A111" s="225" t="s">
        <v>833</v>
      </c>
      <c r="B111" s="225" t="s">
        <v>4613</v>
      </c>
      <c r="C111" s="1" t="s">
        <v>4614</v>
      </c>
      <c r="D111" s="13">
        <v>1748</v>
      </c>
      <c r="E111" s="226"/>
      <c r="F111" s="225" t="s">
        <v>4545</v>
      </c>
      <c r="G111" s="1"/>
      <c r="I111" s="1"/>
    </row>
    <row r="112" spans="1:9">
      <c r="A112" s="225" t="s">
        <v>834</v>
      </c>
      <c r="B112" s="225" t="s">
        <v>4615</v>
      </c>
      <c r="C112" s="1" t="s">
        <v>4616</v>
      </c>
      <c r="D112" s="13">
        <v>2193</v>
      </c>
      <c r="E112" s="226"/>
      <c r="F112" s="225" t="s">
        <v>4545</v>
      </c>
      <c r="G112" s="1"/>
      <c r="I112" s="1"/>
    </row>
    <row r="113" spans="1:9">
      <c r="A113" s="225" t="s">
        <v>835</v>
      </c>
      <c r="B113" s="225" t="s">
        <v>4617</v>
      </c>
      <c r="C113" s="1" t="s">
        <v>4618</v>
      </c>
      <c r="D113" s="13">
        <v>2829</v>
      </c>
      <c r="E113" s="226"/>
      <c r="F113" s="225" t="s">
        <v>4545</v>
      </c>
      <c r="G113" s="1"/>
      <c r="I113" s="1"/>
    </row>
    <row r="114" spans="1:9">
      <c r="A114" s="225" t="s">
        <v>836</v>
      </c>
      <c r="B114" s="225" t="s">
        <v>4619</v>
      </c>
      <c r="C114" s="1" t="s">
        <v>4620</v>
      </c>
      <c r="D114" s="13">
        <v>994</v>
      </c>
      <c r="E114" s="226"/>
      <c r="F114" s="225" t="s">
        <v>4545</v>
      </c>
      <c r="G114" s="1"/>
      <c r="I114" s="1"/>
    </row>
    <row r="115" spans="1:9">
      <c r="A115" s="226"/>
      <c r="B115" s="226"/>
      <c r="D115" s="231"/>
      <c r="E115" s="226"/>
      <c r="F115" s="226"/>
    </row>
    <row r="116" spans="1:9">
      <c r="A116" s="225" t="s">
        <v>4621</v>
      </c>
      <c r="D116" s="229">
        <f t="shared" ref="D116" si="27">SUM(D99:D114)</f>
        <v>27355</v>
      </c>
      <c r="E116" s="226"/>
      <c r="F116" s="226"/>
    </row>
    <row r="117" spans="1:9">
      <c r="A117" s="226"/>
      <c r="B117" s="226"/>
      <c r="D117" s="226"/>
      <c r="E117" s="226"/>
      <c r="F117" s="226"/>
    </row>
    <row r="118" spans="1:9">
      <c r="A118" s="225" t="s">
        <v>4622</v>
      </c>
      <c r="B118" s="226"/>
      <c r="D118" s="226"/>
      <c r="E118" s="226"/>
      <c r="F118" s="226"/>
    </row>
    <row r="119" spans="1:9">
      <c r="A119" s="42"/>
      <c r="B119" s="226"/>
      <c r="D119" s="226"/>
      <c r="E119" s="226"/>
      <c r="F119" s="226"/>
    </row>
    <row r="120" spans="1:9">
      <c r="A120" s="42"/>
      <c r="B120" s="226"/>
      <c r="D120" s="226"/>
      <c r="E120" s="226"/>
      <c r="F120" s="226"/>
    </row>
    <row r="121" spans="1:9">
      <c r="A121" s="226"/>
      <c r="B121" s="226"/>
      <c r="D121" s="10" t="s">
        <v>285</v>
      </c>
      <c r="E121" s="38"/>
      <c r="F121" s="38" t="s">
        <v>4116</v>
      </c>
    </row>
    <row r="122" spans="1:9">
      <c r="A122" s="226"/>
      <c r="B122" s="226"/>
      <c r="D122" s="39">
        <v>2016</v>
      </c>
      <c r="E122" s="226"/>
      <c r="F122" s="41" t="s">
        <v>286</v>
      </c>
    </row>
    <row r="123" spans="1:9">
      <c r="A123" s="225" t="s">
        <v>4623</v>
      </c>
      <c r="D123" s="229">
        <f>SUM(D124:D131)+SUM(D132:D141)</f>
        <v>72073</v>
      </c>
      <c r="E123" s="226"/>
      <c r="F123" s="226"/>
    </row>
    <row r="124" spans="1:9">
      <c r="A124" s="225" t="s">
        <v>812</v>
      </c>
      <c r="B124" s="225" t="s">
        <v>4624</v>
      </c>
      <c r="C124" s="1" t="s">
        <v>4625</v>
      </c>
      <c r="D124" s="7">
        <v>3672</v>
      </c>
      <c r="E124" s="226"/>
      <c r="F124" s="225" t="s">
        <v>4547</v>
      </c>
      <c r="G124" s="19"/>
      <c r="I124" s="1"/>
    </row>
    <row r="125" spans="1:9">
      <c r="A125" s="225" t="s">
        <v>813</v>
      </c>
      <c r="B125" s="225" t="s">
        <v>4626</v>
      </c>
      <c r="C125" s="1" t="s">
        <v>4627</v>
      </c>
      <c r="D125" s="7">
        <v>3720</v>
      </c>
      <c r="E125" s="226"/>
      <c r="F125" s="225" t="s">
        <v>4547</v>
      </c>
      <c r="G125" s="19"/>
      <c r="I125" s="1"/>
    </row>
    <row r="126" spans="1:9">
      <c r="A126" s="225" t="s">
        <v>814</v>
      </c>
      <c r="B126" s="225" t="s">
        <v>4628</v>
      </c>
      <c r="C126" s="1" t="s">
        <v>4629</v>
      </c>
      <c r="D126" s="7">
        <v>5933</v>
      </c>
      <c r="E126" s="226"/>
      <c r="F126" s="225" t="s">
        <v>4547</v>
      </c>
      <c r="G126" s="19"/>
      <c r="I126" s="1"/>
    </row>
    <row r="127" spans="1:9">
      <c r="A127" s="225" t="s">
        <v>815</v>
      </c>
      <c r="B127" s="225" t="s">
        <v>4630</v>
      </c>
      <c r="C127" s="1" t="s">
        <v>4631</v>
      </c>
      <c r="D127" s="7">
        <v>1733</v>
      </c>
      <c r="E127" s="226"/>
      <c r="F127" s="225" t="s">
        <v>4547</v>
      </c>
      <c r="G127" s="19"/>
      <c r="I127" s="1"/>
    </row>
    <row r="128" spans="1:9">
      <c r="A128" s="225" t="s">
        <v>816</v>
      </c>
      <c r="B128" s="225" t="s">
        <v>4632</v>
      </c>
      <c r="C128" s="1" t="s">
        <v>4633</v>
      </c>
      <c r="D128" s="7">
        <v>4030</v>
      </c>
      <c r="E128" s="226"/>
      <c r="F128" s="225" t="s">
        <v>4547</v>
      </c>
      <c r="G128" s="19"/>
      <c r="I128" s="1"/>
    </row>
    <row r="129" spans="1:9">
      <c r="A129" s="225" t="s">
        <v>826</v>
      </c>
      <c r="B129" s="225" t="s">
        <v>4634</v>
      </c>
      <c r="C129" s="1" t="s">
        <v>4635</v>
      </c>
      <c r="D129" s="7">
        <v>3574</v>
      </c>
      <c r="E129" s="226"/>
      <c r="F129" s="225" t="s">
        <v>4547</v>
      </c>
      <c r="G129" s="19"/>
      <c r="I129" s="1"/>
    </row>
    <row r="130" spans="1:9">
      <c r="A130" s="225" t="s">
        <v>827</v>
      </c>
      <c r="B130" s="225" t="s">
        <v>4636</v>
      </c>
      <c r="C130" s="1" t="s">
        <v>4637</v>
      </c>
      <c r="D130" s="7">
        <v>3713</v>
      </c>
      <c r="E130" s="226"/>
      <c r="F130" s="225" t="s">
        <v>4547</v>
      </c>
      <c r="G130" s="19"/>
      <c r="I130" s="1"/>
    </row>
    <row r="131" spans="1:9">
      <c r="A131" s="225" t="s">
        <v>828</v>
      </c>
      <c r="B131" s="225" t="s">
        <v>496</v>
      </c>
      <c r="C131" s="1" t="s">
        <v>4638</v>
      </c>
      <c r="D131" s="7">
        <v>5324</v>
      </c>
      <c r="E131" s="226"/>
      <c r="F131" s="225" t="s">
        <v>4547</v>
      </c>
      <c r="G131" s="19"/>
      <c r="I131" s="1"/>
    </row>
    <row r="132" spans="1:9">
      <c r="A132" s="225" t="s">
        <v>829</v>
      </c>
      <c r="B132" s="225" t="s">
        <v>4639</v>
      </c>
      <c r="C132" s="1" t="s">
        <v>4640</v>
      </c>
      <c r="D132" s="7">
        <v>1915</v>
      </c>
      <c r="E132" s="226"/>
      <c r="F132" s="225" t="s">
        <v>4540</v>
      </c>
      <c r="G132" s="19"/>
      <c r="I132" s="1"/>
    </row>
    <row r="133" spans="1:9">
      <c r="A133" s="225" t="s">
        <v>830</v>
      </c>
      <c r="B133" s="225" t="s">
        <v>4641</v>
      </c>
      <c r="C133" s="1" t="s">
        <v>4642</v>
      </c>
      <c r="D133" s="7">
        <v>3362</v>
      </c>
      <c r="E133" s="226"/>
      <c r="F133" s="225" t="s">
        <v>4547</v>
      </c>
      <c r="G133" s="19"/>
      <c r="I133" s="1"/>
    </row>
    <row r="134" spans="1:9">
      <c r="A134" s="225" t="s">
        <v>831</v>
      </c>
      <c r="B134" s="225" t="s">
        <v>4643</v>
      </c>
      <c r="C134" s="1" t="s">
        <v>4644</v>
      </c>
      <c r="D134" s="7">
        <v>3945</v>
      </c>
      <c r="E134" s="226"/>
      <c r="F134" s="225" t="s">
        <v>4547</v>
      </c>
      <c r="G134" s="19"/>
      <c r="I134" s="1"/>
    </row>
    <row r="135" spans="1:9">
      <c r="A135" s="225" t="s">
        <v>832</v>
      </c>
      <c r="B135" s="225" t="s">
        <v>4141</v>
      </c>
      <c r="C135" s="1" t="s">
        <v>4645</v>
      </c>
      <c r="D135" s="7">
        <v>2030</v>
      </c>
      <c r="E135" s="226"/>
      <c r="F135" s="225" t="s">
        <v>4547</v>
      </c>
      <c r="G135" s="19"/>
      <c r="I135" s="1"/>
    </row>
    <row r="136" spans="1:9">
      <c r="A136" s="225" t="s">
        <v>833</v>
      </c>
      <c r="B136" s="225" t="s">
        <v>4646</v>
      </c>
      <c r="C136" s="1" t="s">
        <v>4647</v>
      </c>
      <c r="D136" s="7">
        <v>3817</v>
      </c>
      <c r="E136" s="226"/>
      <c r="F136" s="225" t="s">
        <v>4547</v>
      </c>
      <c r="G136" s="19"/>
      <c r="I136" s="1"/>
    </row>
    <row r="137" spans="1:9">
      <c r="A137" s="225" t="s">
        <v>834</v>
      </c>
      <c r="B137" s="225" t="s">
        <v>4648</v>
      </c>
      <c r="C137" s="1" t="s">
        <v>4649</v>
      </c>
      <c r="D137" s="7">
        <v>3755</v>
      </c>
      <c r="E137" s="226"/>
      <c r="F137" s="225" t="s">
        <v>4547</v>
      </c>
      <c r="G137" s="19"/>
      <c r="I137" s="1"/>
    </row>
    <row r="138" spans="1:9">
      <c r="A138" s="225" t="s">
        <v>835</v>
      </c>
      <c r="B138" s="225" t="s">
        <v>4650</v>
      </c>
      <c r="C138" s="1" t="s">
        <v>4651</v>
      </c>
      <c r="D138" s="7">
        <v>5142</v>
      </c>
      <c r="E138" s="226"/>
      <c r="F138" s="225" t="s">
        <v>4540</v>
      </c>
      <c r="G138" s="19"/>
      <c r="I138" s="1"/>
    </row>
    <row r="139" spans="1:9">
      <c r="A139" s="225" t="s">
        <v>836</v>
      </c>
      <c r="B139" s="225" t="s">
        <v>4652</v>
      </c>
      <c r="C139" s="1" t="s">
        <v>4653</v>
      </c>
      <c r="D139" s="8">
        <v>5494</v>
      </c>
      <c r="E139" s="226"/>
      <c r="F139" s="225" t="s">
        <v>4547</v>
      </c>
      <c r="G139" s="20"/>
      <c r="I139" s="1"/>
    </row>
    <row r="140" spans="1:9">
      <c r="A140" s="225" t="s">
        <v>837</v>
      </c>
      <c r="B140" s="225" t="s">
        <v>4654</v>
      </c>
      <c r="C140" s="1" t="s">
        <v>4655</v>
      </c>
      <c r="D140" s="8">
        <v>6021</v>
      </c>
      <c r="E140" s="226"/>
      <c r="F140" s="225" t="s">
        <v>4547</v>
      </c>
      <c r="G140" s="20"/>
      <c r="I140" s="1"/>
    </row>
    <row r="141" spans="1:9">
      <c r="A141" s="225" t="s">
        <v>838</v>
      </c>
      <c r="B141" s="225" t="s">
        <v>4656</v>
      </c>
      <c r="C141" s="1" t="s">
        <v>4657</v>
      </c>
      <c r="D141" s="8">
        <v>4893</v>
      </c>
      <c r="E141" s="226"/>
      <c r="F141" s="225" t="s">
        <v>4540</v>
      </c>
      <c r="G141" s="20"/>
      <c r="I141" s="1"/>
    </row>
    <row r="142" spans="1:9">
      <c r="A142" s="226"/>
      <c r="B142" s="226"/>
      <c r="D142" s="231"/>
      <c r="E142" s="226"/>
      <c r="F142" s="226"/>
    </row>
    <row r="143" spans="1:9">
      <c r="A143" s="225" t="s">
        <v>4588</v>
      </c>
      <c r="D143" s="229">
        <f>D132+D138+D141</f>
        <v>11950</v>
      </c>
      <c r="E143" s="226"/>
      <c r="F143" s="226"/>
    </row>
    <row r="144" spans="1:9">
      <c r="A144" s="225" t="s">
        <v>4658</v>
      </c>
      <c r="D144" s="229">
        <f>SUM(D124:D131)+SUM(D133:D137)+D139+D140</f>
        <v>60123</v>
      </c>
      <c r="E144" s="226"/>
      <c r="F144" s="226"/>
    </row>
    <row r="145" spans="1:9">
      <c r="A145" s="225"/>
      <c r="D145" s="229"/>
      <c r="E145" s="226"/>
      <c r="F145" s="226"/>
    </row>
    <row r="146" spans="1:9">
      <c r="A146" s="225" t="s">
        <v>4659</v>
      </c>
      <c r="D146" s="229"/>
      <c r="E146" s="226"/>
      <c r="F146" s="226"/>
    </row>
    <row r="147" spans="1:9">
      <c r="A147" s="225" t="s">
        <v>4660</v>
      </c>
      <c r="D147" s="229"/>
      <c r="E147" s="226"/>
      <c r="F147" s="226"/>
    </row>
    <row r="148" spans="1:9">
      <c r="A148" s="225"/>
      <c r="B148" s="225"/>
      <c r="D148" s="238"/>
      <c r="E148" s="226"/>
      <c r="F148" s="226"/>
    </row>
    <row r="149" spans="1:9">
      <c r="A149" s="225"/>
      <c r="B149" s="225"/>
      <c r="D149" s="238"/>
      <c r="E149" s="226"/>
      <c r="F149" s="226"/>
    </row>
    <row r="150" spans="1:9">
      <c r="A150" s="226"/>
      <c r="B150" s="226"/>
      <c r="D150" s="10" t="s">
        <v>285</v>
      </c>
      <c r="E150" s="38"/>
      <c r="F150" s="38" t="s">
        <v>4116</v>
      </c>
    </row>
    <row r="151" spans="1:9">
      <c r="A151" s="226"/>
      <c r="B151" s="226"/>
      <c r="D151" s="39">
        <v>2016</v>
      </c>
      <c r="E151" s="226"/>
      <c r="F151" s="41" t="s">
        <v>286</v>
      </c>
    </row>
    <row r="152" spans="1:9">
      <c r="A152" s="225" t="s">
        <v>4661</v>
      </c>
      <c r="D152" s="229">
        <f t="shared" ref="D152" si="28">SUM(D153:D180)</f>
        <v>127526</v>
      </c>
      <c r="E152" s="226"/>
      <c r="F152" s="226"/>
    </row>
    <row r="153" spans="1:9">
      <c r="A153" s="225" t="s">
        <v>812</v>
      </c>
      <c r="B153" s="225" t="s">
        <v>4662</v>
      </c>
      <c r="C153" s="1" t="s">
        <v>4663</v>
      </c>
      <c r="D153" s="7">
        <v>5213</v>
      </c>
      <c r="E153" s="226"/>
      <c r="F153" s="225" t="s">
        <v>4530</v>
      </c>
      <c r="G153" s="1"/>
      <c r="I153" s="1"/>
    </row>
    <row r="154" spans="1:9">
      <c r="A154" s="225" t="s">
        <v>813</v>
      </c>
      <c r="B154" s="225" t="s">
        <v>4664</v>
      </c>
      <c r="C154" s="1" t="s">
        <v>4665</v>
      </c>
      <c r="D154" s="7">
        <v>5223</v>
      </c>
      <c r="E154" s="226"/>
      <c r="F154" s="236" t="s">
        <v>4542</v>
      </c>
      <c r="G154" s="1"/>
      <c r="I154" s="1"/>
    </row>
    <row r="155" spans="1:9">
      <c r="A155" s="225" t="s">
        <v>814</v>
      </c>
      <c r="B155" s="225" t="s">
        <v>4666</v>
      </c>
      <c r="C155" s="1" t="s">
        <v>4667</v>
      </c>
      <c r="D155" s="7">
        <v>5250</v>
      </c>
      <c r="E155" s="226"/>
      <c r="F155" s="225" t="s">
        <v>4530</v>
      </c>
      <c r="G155" s="1"/>
      <c r="I155" s="1"/>
    </row>
    <row r="156" spans="1:9">
      <c r="A156" s="225" t="s">
        <v>815</v>
      </c>
      <c r="B156" s="225" t="s">
        <v>4668</v>
      </c>
      <c r="C156" s="1" t="s">
        <v>4669</v>
      </c>
      <c r="D156" s="7">
        <v>5108</v>
      </c>
      <c r="E156" s="226"/>
      <c r="F156" s="225" t="s">
        <v>4530</v>
      </c>
      <c r="G156" s="1"/>
      <c r="I156" s="1"/>
    </row>
    <row r="157" spans="1:9">
      <c r="A157" s="225" t="s">
        <v>816</v>
      </c>
      <c r="B157" s="225" t="s">
        <v>4670</v>
      </c>
      <c r="C157" s="1" t="s">
        <v>4671</v>
      </c>
      <c r="D157" s="7">
        <v>2287</v>
      </c>
      <c r="E157" s="226"/>
      <c r="F157" s="225" t="s">
        <v>4545</v>
      </c>
      <c r="G157" s="1"/>
      <c r="I157" s="1"/>
    </row>
    <row r="158" spans="1:9">
      <c r="A158" s="225" t="s">
        <v>826</v>
      </c>
      <c r="B158" s="225" t="s">
        <v>4672</v>
      </c>
      <c r="C158" s="1" t="s">
        <v>4673</v>
      </c>
      <c r="D158" s="7">
        <v>2484</v>
      </c>
      <c r="E158" s="226"/>
      <c r="F158" s="225" t="s">
        <v>4530</v>
      </c>
      <c r="G158" s="1"/>
      <c r="I158" s="1"/>
    </row>
    <row r="159" spans="1:9">
      <c r="A159" s="225" t="s">
        <v>827</v>
      </c>
      <c r="B159" s="225" t="s">
        <v>4674</v>
      </c>
      <c r="C159" s="1" t="s">
        <v>4675</v>
      </c>
      <c r="D159" s="7">
        <v>5056</v>
      </c>
      <c r="E159" s="226"/>
      <c r="F159" s="236" t="s">
        <v>4542</v>
      </c>
      <c r="G159" s="1"/>
      <c r="I159" s="1"/>
    </row>
    <row r="160" spans="1:9">
      <c r="A160" s="225" t="s">
        <v>828</v>
      </c>
      <c r="B160" s="225" t="s">
        <v>4676</v>
      </c>
      <c r="C160" s="1" t="s">
        <v>4677</v>
      </c>
      <c r="D160" s="7">
        <v>4864</v>
      </c>
      <c r="E160" s="226"/>
      <c r="F160" s="236" t="s">
        <v>4542</v>
      </c>
      <c r="G160" s="1"/>
      <c r="I160" s="1"/>
    </row>
    <row r="161" spans="1:9">
      <c r="A161" s="225" t="s">
        <v>829</v>
      </c>
      <c r="B161" s="225" t="s">
        <v>4678</v>
      </c>
      <c r="C161" s="1" t="s">
        <v>4679</v>
      </c>
      <c r="D161" s="8">
        <v>4482</v>
      </c>
      <c r="E161" s="226"/>
      <c r="F161" s="236" t="s">
        <v>4542</v>
      </c>
      <c r="G161" s="1"/>
      <c r="I161" s="1"/>
    </row>
    <row r="162" spans="1:9">
      <c r="A162" s="225" t="s">
        <v>830</v>
      </c>
      <c r="B162" s="225" t="s">
        <v>4680</v>
      </c>
      <c r="C162" s="1" t="s">
        <v>4681</v>
      </c>
      <c r="D162" s="8">
        <v>4085</v>
      </c>
      <c r="E162" s="226"/>
      <c r="F162" s="236" t="s">
        <v>4542</v>
      </c>
      <c r="G162" s="1"/>
      <c r="I162" s="1"/>
    </row>
    <row r="163" spans="1:9">
      <c r="A163" s="225" t="s">
        <v>831</v>
      </c>
      <c r="B163" s="225" t="s">
        <v>4682</v>
      </c>
      <c r="C163" s="1" t="s">
        <v>4683</v>
      </c>
      <c r="D163" s="8">
        <v>4239</v>
      </c>
      <c r="E163" s="226"/>
      <c r="F163" s="236" t="s">
        <v>4542</v>
      </c>
      <c r="G163" s="1"/>
      <c r="I163" s="1"/>
    </row>
    <row r="164" spans="1:9">
      <c r="A164" s="225" t="s">
        <v>832</v>
      </c>
      <c r="B164" s="225" t="s">
        <v>4684</v>
      </c>
      <c r="C164" s="1" t="s">
        <v>4685</v>
      </c>
      <c r="D164" s="8">
        <v>3975</v>
      </c>
      <c r="E164" s="226"/>
      <c r="F164" s="236" t="s">
        <v>4542</v>
      </c>
      <c r="G164" s="1"/>
      <c r="I164" s="1"/>
    </row>
    <row r="165" spans="1:9">
      <c r="A165" s="225" t="s">
        <v>833</v>
      </c>
      <c r="B165" s="225" t="s">
        <v>4686</v>
      </c>
      <c r="C165" s="1" t="s">
        <v>4687</v>
      </c>
      <c r="D165" s="8">
        <v>4500</v>
      </c>
      <c r="E165" s="226"/>
      <c r="F165" s="236" t="s">
        <v>4542</v>
      </c>
      <c r="G165" s="1"/>
      <c r="I165" s="1"/>
    </row>
    <row r="166" spans="1:9">
      <c r="A166" s="225" t="s">
        <v>834</v>
      </c>
      <c r="B166" s="225" t="s">
        <v>4688</v>
      </c>
      <c r="C166" s="1" t="s">
        <v>4689</v>
      </c>
      <c r="D166" s="8">
        <v>5499</v>
      </c>
      <c r="E166" s="226"/>
      <c r="F166" s="236" t="s">
        <v>4542</v>
      </c>
      <c r="G166" s="1"/>
      <c r="I166" s="1"/>
    </row>
    <row r="167" spans="1:9">
      <c r="A167" s="225" t="s">
        <v>835</v>
      </c>
      <c r="B167" s="225" t="s">
        <v>4690</v>
      </c>
      <c r="C167" s="1" t="s">
        <v>4691</v>
      </c>
      <c r="D167" s="8">
        <v>4046</v>
      </c>
      <c r="E167" s="226"/>
      <c r="F167" s="236" t="s">
        <v>4542</v>
      </c>
      <c r="G167" s="1"/>
      <c r="I167" s="1"/>
    </row>
    <row r="168" spans="1:9">
      <c r="A168" s="225" t="s">
        <v>836</v>
      </c>
      <c r="B168" s="225" t="s">
        <v>4692</v>
      </c>
      <c r="C168" s="1" t="s">
        <v>4693</v>
      </c>
      <c r="D168" s="8">
        <v>4024</v>
      </c>
      <c r="E168" s="226"/>
      <c r="F168" s="236" t="s">
        <v>4542</v>
      </c>
      <c r="G168" s="1"/>
      <c r="I168" s="1"/>
    </row>
    <row r="169" spans="1:9">
      <c r="A169" s="225" t="s">
        <v>837</v>
      </c>
      <c r="B169" s="225" t="s">
        <v>4694</v>
      </c>
      <c r="C169" s="1" t="s">
        <v>4695</v>
      </c>
      <c r="D169" s="7">
        <v>5247</v>
      </c>
      <c r="E169" s="226"/>
      <c r="F169" s="225" t="s">
        <v>4530</v>
      </c>
      <c r="G169" s="1"/>
      <c r="I169" s="1"/>
    </row>
    <row r="170" spans="1:9">
      <c r="A170" s="225" t="s">
        <v>838</v>
      </c>
      <c r="B170" s="225" t="s">
        <v>4696</v>
      </c>
      <c r="C170" s="1" t="s">
        <v>4697</v>
      </c>
      <c r="D170" s="7">
        <v>2539</v>
      </c>
      <c r="E170" s="226"/>
      <c r="F170" s="225" t="s">
        <v>4545</v>
      </c>
      <c r="G170" s="1"/>
      <c r="I170" s="1"/>
    </row>
    <row r="171" spans="1:9">
      <c r="A171" s="225" t="s">
        <v>840</v>
      </c>
      <c r="B171" s="225" t="s">
        <v>4698</v>
      </c>
      <c r="C171" s="1" t="s">
        <v>4699</v>
      </c>
      <c r="D171" s="8">
        <v>5463</v>
      </c>
      <c r="E171" s="226"/>
      <c r="F171" s="236" t="s">
        <v>4542</v>
      </c>
      <c r="G171" s="1"/>
      <c r="I171" s="1"/>
    </row>
    <row r="172" spans="1:9">
      <c r="A172" s="225" t="s">
        <v>841</v>
      </c>
      <c r="B172" s="225" t="s">
        <v>4700</v>
      </c>
      <c r="C172" s="1" t="s">
        <v>4701</v>
      </c>
      <c r="D172" s="7">
        <v>5292</v>
      </c>
      <c r="E172" s="226"/>
      <c r="F172" s="225" t="s">
        <v>4530</v>
      </c>
      <c r="G172" s="1"/>
      <c r="I172" s="1"/>
    </row>
    <row r="173" spans="1:9">
      <c r="A173" s="225" t="s">
        <v>878</v>
      </c>
      <c r="B173" s="225" t="s">
        <v>4702</v>
      </c>
      <c r="C173" s="1" t="s">
        <v>4703</v>
      </c>
      <c r="D173" s="8">
        <v>5094</v>
      </c>
      <c r="E173" s="226"/>
      <c r="F173" s="225" t="s">
        <v>4544</v>
      </c>
      <c r="G173" s="1"/>
      <c r="I173" s="1"/>
    </row>
    <row r="174" spans="1:9">
      <c r="A174" s="225" t="s">
        <v>879</v>
      </c>
      <c r="B174" s="225" t="s">
        <v>4704</v>
      </c>
      <c r="C174" s="1" t="s">
        <v>4705</v>
      </c>
      <c r="D174" s="8">
        <v>5418</v>
      </c>
      <c r="E174" s="226"/>
      <c r="F174" s="225" t="s">
        <v>4544</v>
      </c>
      <c r="G174" s="1"/>
      <c r="I174" s="1"/>
    </row>
    <row r="175" spans="1:9">
      <c r="A175" s="225" t="s">
        <v>880</v>
      </c>
      <c r="B175" s="225" t="s">
        <v>4706</v>
      </c>
      <c r="C175" s="1" t="s">
        <v>4707</v>
      </c>
      <c r="D175" s="8">
        <v>5615</v>
      </c>
      <c r="E175" s="226"/>
      <c r="F175" s="225" t="s">
        <v>4530</v>
      </c>
      <c r="G175" s="1"/>
      <c r="I175" s="1"/>
    </row>
    <row r="176" spans="1:9">
      <c r="A176" s="225" t="s">
        <v>721</v>
      </c>
      <c r="B176" s="225" t="s">
        <v>4708</v>
      </c>
      <c r="C176" s="1" t="s">
        <v>4709</v>
      </c>
      <c r="D176" s="7">
        <v>5223</v>
      </c>
      <c r="E176" s="226"/>
      <c r="F176" s="225" t="s">
        <v>4530</v>
      </c>
      <c r="G176" s="1"/>
      <c r="I176" s="1"/>
    </row>
    <row r="177" spans="1:9">
      <c r="A177" s="225" t="s">
        <v>722</v>
      </c>
      <c r="B177" s="225" t="s">
        <v>4710</v>
      </c>
      <c r="C177" s="1" t="s">
        <v>4711</v>
      </c>
      <c r="D177" s="7">
        <v>4985</v>
      </c>
      <c r="E177" s="226"/>
      <c r="F177" s="225" t="s">
        <v>4530</v>
      </c>
      <c r="G177" s="1"/>
      <c r="I177" s="1"/>
    </row>
    <row r="178" spans="1:9">
      <c r="A178" s="225" t="s">
        <v>723</v>
      </c>
      <c r="B178" s="225" t="s">
        <v>4712</v>
      </c>
      <c r="C178" s="1" t="s">
        <v>4713</v>
      </c>
      <c r="D178" s="8">
        <v>2486</v>
      </c>
      <c r="E178" s="226"/>
      <c r="F178" s="225" t="s">
        <v>4530</v>
      </c>
      <c r="G178" s="1"/>
      <c r="I178" s="1"/>
    </row>
    <row r="179" spans="1:9">
      <c r="A179" s="225" t="s">
        <v>733</v>
      </c>
      <c r="B179" s="225" t="s">
        <v>4714</v>
      </c>
      <c r="C179" s="1" t="s">
        <v>4715</v>
      </c>
      <c r="D179" s="7">
        <v>7414</v>
      </c>
      <c r="E179" s="226"/>
      <c r="F179" s="225" t="s">
        <v>4530</v>
      </c>
      <c r="G179" s="1"/>
      <c r="I179" s="1"/>
    </row>
    <row r="180" spans="1:9">
      <c r="A180" s="225" t="s">
        <v>734</v>
      </c>
      <c r="B180" s="225" t="s">
        <v>4716</v>
      </c>
      <c r="C180" s="1" t="s">
        <v>4717</v>
      </c>
      <c r="D180" s="7">
        <v>2415</v>
      </c>
      <c r="E180" s="226"/>
      <c r="F180" s="225" t="s">
        <v>4530</v>
      </c>
      <c r="G180" s="1"/>
      <c r="I180" s="1"/>
    </row>
    <row r="181" spans="1:9">
      <c r="A181" s="226"/>
      <c r="B181" s="226"/>
      <c r="D181" s="231"/>
      <c r="E181" s="226"/>
      <c r="F181" s="226"/>
    </row>
    <row r="182" spans="1:9">
      <c r="A182" s="225" t="s">
        <v>4718</v>
      </c>
      <c r="D182" s="229">
        <f>D153+D155+D156+D158+D169+D172+SUM(D175:D180)</f>
        <v>56732</v>
      </c>
      <c r="E182" s="226"/>
      <c r="F182" s="226"/>
    </row>
    <row r="183" spans="1:9">
      <c r="A183" s="236" t="s">
        <v>4719</v>
      </c>
      <c r="D183" s="229">
        <f>D154+SUM(D159:D168)+D171</f>
        <v>55456</v>
      </c>
      <c r="E183" s="226"/>
      <c r="F183" s="226"/>
    </row>
    <row r="184" spans="1:9">
      <c r="A184" s="225" t="s">
        <v>4720</v>
      </c>
      <c r="D184" s="229">
        <f>D173+D174</f>
        <v>10512</v>
      </c>
      <c r="E184" s="226"/>
      <c r="F184" s="226"/>
    </row>
    <row r="185" spans="1:9">
      <c r="A185" s="225" t="s">
        <v>4621</v>
      </c>
      <c r="D185" s="229">
        <f>D157+D170</f>
        <v>4826</v>
      </c>
      <c r="E185" s="226"/>
      <c r="F185" s="226"/>
    </row>
    <row r="186" spans="1:9">
      <c r="A186" s="225"/>
      <c r="D186" s="229"/>
      <c r="E186" s="226"/>
      <c r="F186" s="226"/>
    </row>
    <row r="187" spans="1:9">
      <c r="A187" s="225" t="s">
        <v>4721</v>
      </c>
      <c r="D187" s="229"/>
      <c r="E187" s="226"/>
      <c r="F187" s="226"/>
    </row>
    <row r="188" spans="1:9">
      <c r="A188" s="225"/>
      <c r="B188" s="225"/>
      <c r="D188" s="238"/>
      <c r="E188" s="226"/>
      <c r="F188" s="226"/>
    </row>
    <row r="189" spans="1:9">
      <c r="A189" s="225"/>
      <c r="B189" s="225"/>
      <c r="D189" s="238"/>
      <c r="E189" s="226"/>
      <c r="F189" s="226"/>
    </row>
    <row r="190" spans="1:9">
      <c r="A190" s="226"/>
      <c r="B190" s="226"/>
      <c r="D190" s="10" t="s">
        <v>285</v>
      </c>
      <c r="E190" s="38"/>
      <c r="F190" s="38" t="s">
        <v>4116</v>
      </c>
    </row>
    <row r="191" spans="1:9">
      <c r="A191" s="226"/>
      <c r="B191" s="226"/>
      <c r="D191" s="39">
        <v>2016</v>
      </c>
      <c r="E191" s="226"/>
      <c r="F191" s="41" t="s">
        <v>286</v>
      </c>
    </row>
    <row r="192" spans="1:9">
      <c r="A192" s="225" t="s">
        <v>4722</v>
      </c>
      <c r="D192" s="229">
        <f t="shared" ref="D192" si="29">SUM(D193:D217)</f>
        <v>63449</v>
      </c>
      <c r="E192" s="226"/>
      <c r="F192" s="226"/>
    </row>
    <row r="193" spans="1:9">
      <c r="A193" s="225" t="s">
        <v>812</v>
      </c>
      <c r="B193" s="225" t="s">
        <v>4723</v>
      </c>
      <c r="C193" s="1" t="s">
        <v>4724</v>
      </c>
      <c r="D193" s="7">
        <v>1403</v>
      </c>
      <c r="E193" s="226"/>
      <c r="F193" s="225" t="s">
        <v>4545</v>
      </c>
      <c r="G193" s="1"/>
      <c r="I193" s="1"/>
    </row>
    <row r="194" spans="1:9">
      <c r="A194" s="225" t="s">
        <v>813</v>
      </c>
      <c r="B194" s="225" t="s">
        <v>4725</v>
      </c>
      <c r="C194" s="1" t="s">
        <v>4726</v>
      </c>
      <c r="D194" s="7">
        <v>1847</v>
      </c>
      <c r="E194" s="226"/>
      <c r="F194" s="225" t="s">
        <v>4532</v>
      </c>
      <c r="G194" s="1"/>
      <c r="I194" s="1"/>
    </row>
    <row r="195" spans="1:9">
      <c r="A195" s="225" t="s">
        <v>814</v>
      </c>
      <c r="B195" s="225" t="s">
        <v>4727</v>
      </c>
      <c r="C195" s="1" t="s">
        <v>4728</v>
      </c>
      <c r="D195" s="7">
        <v>1546</v>
      </c>
      <c r="E195" s="226"/>
      <c r="F195" s="225" t="s">
        <v>4547</v>
      </c>
      <c r="G195" s="1"/>
      <c r="I195" s="1"/>
    </row>
    <row r="196" spans="1:9">
      <c r="A196" s="225" t="s">
        <v>815</v>
      </c>
      <c r="B196" s="225" t="s">
        <v>4729</v>
      </c>
      <c r="C196" s="1" t="s">
        <v>4730</v>
      </c>
      <c r="D196" s="7">
        <v>2051</v>
      </c>
      <c r="E196" s="226"/>
      <c r="F196" s="225" t="s">
        <v>4547</v>
      </c>
      <c r="G196" s="1"/>
      <c r="I196" s="1"/>
    </row>
    <row r="197" spans="1:9">
      <c r="A197" s="225" t="s">
        <v>816</v>
      </c>
      <c r="B197" s="225" t="s">
        <v>4731</v>
      </c>
      <c r="C197" s="1" t="s">
        <v>4732</v>
      </c>
      <c r="D197" s="8">
        <v>1299</v>
      </c>
      <c r="E197" s="226"/>
      <c r="F197" s="225" t="s">
        <v>4547</v>
      </c>
      <c r="G197" s="1"/>
      <c r="I197" s="1"/>
    </row>
    <row r="198" spans="1:9">
      <c r="A198" s="225" t="s">
        <v>826</v>
      </c>
      <c r="B198" s="225" t="s">
        <v>4733</v>
      </c>
      <c r="C198" s="1" t="s">
        <v>4734</v>
      </c>
      <c r="D198" s="8">
        <v>1448</v>
      </c>
      <c r="E198" s="226"/>
      <c r="F198" s="225" t="s">
        <v>4547</v>
      </c>
      <c r="G198" s="1"/>
      <c r="I198" s="1"/>
    </row>
    <row r="199" spans="1:9">
      <c r="A199" s="225" t="s">
        <v>827</v>
      </c>
      <c r="B199" s="225" t="s">
        <v>4735</v>
      </c>
      <c r="C199" s="1" t="s">
        <v>4736</v>
      </c>
      <c r="D199" s="8">
        <v>1688</v>
      </c>
      <c r="E199" s="226"/>
      <c r="F199" s="225" t="s">
        <v>4547</v>
      </c>
      <c r="G199" s="1"/>
      <c r="I199" s="1"/>
    </row>
    <row r="200" spans="1:9">
      <c r="A200" s="225" t="s">
        <v>828</v>
      </c>
      <c r="B200" s="225" t="s">
        <v>4737</v>
      </c>
      <c r="C200" s="1" t="s">
        <v>4738</v>
      </c>
      <c r="D200" s="7">
        <v>3621</v>
      </c>
      <c r="E200" s="226"/>
      <c r="F200" s="225" t="s">
        <v>4532</v>
      </c>
      <c r="G200" s="1"/>
      <c r="I200" s="1"/>
    </row>
    <row r="201" spans="1:9">
      <c r="A201" s="225" t="s">
        <v>829</v>
      </c>
      <c r="B201" s="225" t="s">
        <v>4739</v>
      </c>
      <c r="C201" s="1" t="s">
        <v>4740</v>
      </c>
      <c r="D201" s="7">
        <v>3437</v>
      </c>
      <c r="E201" s="226"/>
      <c r="F201" s="225" t="s">
        <v>4536</v>
      </c>
      <c r="G201" s="1"/>
      <c r="I201" s="1"/>
    </row>
    <row r="202" spans="1:9">
      <c r="A202" s="225" t="s">
        <v>830</v>
      </c>
      <c r="B202" s="225" t="s">
        <v>4741</v>
      </c>
      <c r="C202" s="1" t="s">
        <v>4742</v>
      </c>
      <c r="D202" s="7">
        <v>5501</v>
      </c>
      <c r="E202" s="226"/>
      <c r="F202" s="225" t="s">
        <v>4536</v>
      </c>
      <c r="G202" s="1"/>
      <c r="I202" s="1"/>
    </row>
    <row r="203" spans="1:9">
      <c r="A203" s="225" t="s">
        <v>831</v>
      </c>
      <c r="B203" s="225" t="s">
        <v>4743</v>
      </c>
      <c r="C203" s="1" t="s">
        <v>4744</v>
      </c>
      <c r="D203" s="7">
        <v>1596</v>
      </c>
      <c r="E203" s="226"/>
      <c r="F203" s="226" t="s">
        <v>4532</v>
      </c>
      <c r="G203" s="1"/>
      <c r="I203" s="1"/>
    </row>
    <row r="204" spans="1:9">
      <c r="A204" s="225" t="s">
        <v>832</v>
      </c>
      <c r="B204" s="225" t="s">
        <v>4745</v>
      </c>
      <c r="C204" s="1" t="s">
        <v>4746</v>
      </c>
      <c r="D204" s="8">
        <v>1811</v>
      </c>
      <c r="E204" s="226"/>
      <c r="F204" s="226" t="s">
        <v>4532</v>
      </c>
      <c r="G204" s="1"/>
      <c r="I204" s="1"/>
    </row>
    <row r="205" spans="1:9">
      <c r="A205" s="225" t="s">
        <v>833</v>
      </c>
      <c r="B205" s="225" t="s">
        <v>4747</v>
      </c>
      <c r="C205" s="1" t="s">
        <v>4748</v>
      </c>
      <c r="D205" s="8">
        <v>1622</v>
      </c>
      <c r="E205" s="226"/>
      <c r="F205" s="226" t="s">
        <v>4532</v>
      </c>
      <c r="G205" s="1"/>
      <c r="I205" s="1"/>
    </row>
    <row r="206" spans="1:9">
      <c r="A206" s="225" t="s">
        <v>834</v>
      </c>
      <c r="B206" s="225" t="s">
        <v>4749</v>
      </c>
      <c r="C206" s="1" t="s">
        <v>4750</v>
      </c>
      <c r="D206" s="8">
        <v>1642</v>
      </c>
      <c r="E206" s="226"/>
      <c r="F206" s="226" t="s">
        <v>4532</v>
      </c>
      <c r="G206" s="1"/>
      <c r="I206" s="1"/>
    </row>
    <row r="207" spans="1:9">
      <c r="A207" s="225" t="s">
        <v>835</v>
      </c>
      <c r="B207" s="225" t="s">
        <v>4751</v>
      </c>
      <c r="C207" s="1" t="s">
        <v>4752</v>
      </c>
      <c r="D207" s="8">
        <v>1792</v>
      </c>
      <c r="E207" s="226"/>
      <c r="F207" s="226" t="s">
        <v>4532</v>
      </c>
      <c r="G207" s="1"/>
      <c r="I207" s="1"/>
    </row>
    <row r="208" spans="1:9">
      <c r="A208" s="225" t="s">
        <v>836</v>
      </c>
      <c r="B208" s="225" t="s">
        <v>4753</v>
      </c>
      <c r="C208" s="1" t="s">
        <v>4754</v>
      </c>
      <c r="D208" s="7">
        <v>5047</v>
      </c>
      <c r="E208" s="226"/>
      <c r="F208" s="225" t="s">
        <v>4536</v>
      </c>
      <c r="G208" s="1"/>
      <c r="I208" s="1"/>
    </row>
    <row r="209" spans="1:9">
      <c r="A209" s="225" t="s">
        <v>837</v>
      </c>
      <c r="B209" s="225" t="s">
        <v>4755</v>
      </c>
      <c r="C209" s="1" t="s">
        <v>4756</v>
      </c>
      <c r="D209" s="7">
        <v>4114</v>
      </c>
      <c r="E209" s="226"/>
      <c r="F209" s="225" t="s">
        <v>4536</v>
      </c>
      <c r="G209" s="1"/>
      <c r="I209" s="1"/>
    </row>
    <row r="210" spans="1:9">
      <c r="A210" s="225" t="s">
        <v>838</v>
      </c>
      <c r="B210" s="225" t="s">
        <v>4757</v>
      </c>
      <c r="C210" s="1" t="s">
        <v>4758</v>
      </c>
      <c r="D210" s="7">
        <v>3120</v>
      </c>
      <c r="E210" s="226"/>
      <c r="F210" s="225" t="s">
        <v>4536</v>
      </c>
      <c r="G210" s="1"/>
      <c r="I210" s="1"/>
    </row>
    <row r="211" spans="1:9">
      <c r="A211" s="225" t="s">
        <v>840</v>
      </c>
      <c r="B211" s="225" t="s">
        <v>4759</v>
      </c>
      <c r="C211" s="1" t="s">
        <v>4760</v>
      </c>
      <c r="D211" s="7">
        <v>5064</v>
      </c>
      <c r="E211" s="226"/>
      <c r="F211" s="225" t="s">
        <v>4536</v>
      </c>
      <c r="G211" s="1"/>
      <c r="I211" s="1"/>
    </row>
    <row r="212" spans="1:9">
      <c r="A212" s="225" t="s">
        <v>841</v>
      </c>
      <c r="B212" s="225" t="s">
        <v>4761</v>
      </c>
      <c r="C212" s="1" t="s">
        <v>4762</v>
      </c>
      <c r="D212" s="8">
        <v>1955</v>
      </c>
      <c r="E212" s="226"/>
      <c r="F212" s="225" t="s">
        <v>4532</v>
      </c>
      <c r="G212" s="1"/>
      <c r="I212" s="1"/>
    </row>
    <row r="213" spans="1:9">
      <c r="A213" s="225" t="s">
        <v>878</v>
      </c>
      <c r="B213" s="225" t="s">
        <v>4763</v>
      </c>
      <c r="C213" s="1" t="s">
        <v>4764</v>
      </c>
      <c r="D213" s="7">
        <v>1703</v>
      </c>
      <c r="E213" s="226"/>
      <c r="F213" s="225" t="s">
        <v>4545</v>
      </c>
      <c r="G213" s="1"/>
      <c r="I213" s="1"/>
    </row>
    <row r="214" spans="1:9">
      <c r="A214" s="225" t="s">
        <v>879</v>
      </c>
      <c r="B214" s="225" t="s">
        <v>4765</v>
      </c>
      <c r="C214" s="1" t="s">
        <v>4766</v>
      </c>
      <c r="D214" s="8">
        <v>1826</v>
      </c>
      <c r="E214" s="226"/>
      <c r="F214" s="225" t="s">
        <v>4547</v>
      </c>
      <c r="G214" s="1"/>
      <c r="I214" s="1"/>
    </row>
    <row r="215" spans="1:9">
      <c r="A215" s="225" t="s">
        <v>880</v>
      </c>
      <c r="B215" s="225" t="s">
        <v>4767</v>
      </c>
      <c r="C215" s="1" t="s">
        <v>4768</v>
      </c>
      <c r="D215" s="7">
        <v>5168</v>
      </c>
      <c r="E215" s="226"/>
      <c r="F215" s="225" t="s">
        <v>4536</v>
      </c>
      <c r="G215" s="1"/>
      <c r="I215" s="1"/>
    </row>
    <row r="216" spans="1:9">
      <c r="A216" s="225" t="s">
        <v>721</v>
      </c>
      <c r="B216" s="225" t="s">
        <v>4769</v>
      </c>
      <c r="C216" s="1" t="s">
        <v>4770</v>
      </c>
      <c r="D216" s="7">
        <v>1546</v>
      </c>
      <c r="E216" s="226"/>
      <c r="F216" s="225" t="s">
        <v>4545</v>
      </c>
      <c r="G216" s="1"/>
      <c r="I216" s="1"/>
    </row>
    <row r="217" spans="1:9">
      <c r="A217" s="225" t="s">
        <v>722</v>
      </c>
      <c r="B217" s="225" t="s">
        <v>4771</v>
      </c>
      <c r="C217" s="1" t="s">
        <v>4772</v>
      </c>
      <c r="D217" s="8">
        <v>1602</v>
      </c>
      <c r="E217" s="226"/>
      <c r="F217" s="225" t="s">
        <v>4547</v>
      </c>
      <c r="G217" s="1"/>
      <c r="I217" s="1"/>
    </row>
    <row r="218" spans="1:9">
      <c r="A218" s="226"/>
      <c r="B218" s="226"/>
      <c r="D218" s="231"/>
      <c r="E218" s="226"/>
      <c r="F218" s="226"/>
    </row>
    <row r="219" spans="1:9">
      <c r="A219" s="226" t="s">
        <v>4773</v>
      </c>
      <c r="B219" s="226"/>
      <c r="D219" s="231">
        <f>D194+D200+SUM(D203:D207)+D212</f>
        <v>15886</v>
      </c>
      <c r="E219" s="226"/>
      <c r="F219" s="226"/>
    </row>
    <row r="220" spans="1:9">
      <c r="A220" s="225" t="s">
        <v>4774</v>
      </c>
      <c r="D220" s="229">
        <f>D201+D202+SUM(D208:D211)+D215</f>
        <v>31451</v>
      </c>
      <c r="E220" s="226"/>
      <c r="F220" s="226"/>
    </row>
    <row r="221" spans="1:9">
      <c r="A221" s="225" t="s">
        <v>4621</v>
      </c>
      <c r="D221" s="229">
        <f>D193+D213+D216</f>
        <v>4652</v>
      </c>
      <c r="E221" s="226"/>
      <c r="F221" s="226"/>
    </row>
    <row r="222" spans="1:9">
      <c r="A222" s="225" t="s">
        <v>4658</v>
      </c>
      <c r="D222" s="229">
        <f>SUM(D195:D199)+D214+D217</f>
        <v>11460</v>
      </c>
      <c r="E222" s="226"/>
      <c r="F222" s="226"/>
    </row>
    <row r="223" spans="1:9">
      <c r="A223" s="225"/>
      <c r="D223" s="229"/>
      <c r="E223" s="226"/>
      <c r="F223" s="226"/>
    </row>
    <row r="224" spans="1:9">
      <c r="A224" s="225" t="s">
        <v>4775</v>
      </c>
      <c r="D224" s="229"/>
      <c r="E224" s="226"/>
      <c r="F224" s="226"/>
    </row>
    <row r="225" spans="1:9">
      <c r="A225" s="225"/>
      <c r="B225" s="225"/>
      <c r="D225" s="238"/>
      <c r="E225" s="226"/>
      <c r="F225" s="226"/>
    </row>
    <row r="226" spans="1:9">
      <c r="A226" s="225"/>
      <c r="B226" s="225"/>
      <c r="D226" s="238"/>
      <c r="E226" s="226"/>
      <c r="F226" s="226"/>
    </row>
    <row r="227" spans="1:9">
      <c r="A227" s="226"/>
      <c r="B227" s="226"/>
      <c r="D227" s="10" t="s">
        <v>285</v>
      </c>
      <c r="E227" s="38"/>
      <c r="F227" s="38" t="s">
        <v>4116</v>
      </c>
    </row>
    <row r="228" spans="1:9">
      <c r="A228" s="226"/>
      <c r="B228" s="226"/>
      <c r="D228" s="39">
        <v>2016</v>
      </c>
      <c r="E228" s="226"/>
      <c r="F228" s="41" t="s">
        <v>286</v>
      </c>
    </row>
    <row r="229" spans="1:9">
      <c r="A229" s="225" t="s">
        <v>4776</v>
      </c>
      <c r="D229" s="229">
        <f t="shared" ref="D229" si="30">SUM(D230:D245)</f>
        <v>83628</v>
      </c>
      <c r="E229" s="226"/>
      <c r="F229" s="226"/>
    </row>
    <row r="230" spans="1:9">
      <c r="A230" s="225" t="s">
        <v>812</v>
      </c>
      <c r="B230" s="225" t="s">
        <v>4777</v>
      </c>
      <c r="C230" s="1" t="s">
        <v>4778</v>
      </c>
      <c r="D230" s="7">
        <v>2763</v>
      </c>
      <c r="E230" s="226"/>
      <c r="F230" s="225" t="s">
        <v>4527</v>
      </c>
      <c r="G230" s="1"/>
      <c r="I230" s="1"/>
    </row>
    <row r="231" spans="1:9">
      <c r="A231" s="225" t="s">
        <v>813</v>
      </c>
      <c r="B231" s="225" t="s">
        <v>4779</v>
      </c>
      <c r="C231" s="1" t="s">
        <v>4780</v>
      </c>
      <c r="D231" s="7">
        <v>2572</v>
      </c>
      <c r="E231" s="226"/>
      <c r="F231" s="225" t="s">
        <v>4527</v>
      </c>
      <c r="G231" s="1"/>
      <c r="I231" s="1"/>
    </row>
    <row r="232" spans="1:9">
      <c r="A232" s="225" t="s">
        <v>814</v>
      </c>
      <c r="B232" s="225" t="s">
        <v>4781</v>
      </c>
      <c r="C232" s="1" t="s">
        <v>4782</v>
      </c>
      <c r="D232" s="7">
        <v>6803</v>
      </c>
      <c r="E232" s="226"/>
      <c r="F232" s="225" t="s">
        <v>4527</v>
      </c>
      <c r="G232" s="1"/>
      <c r="I232" s="1"/>
    </row>
    <row r="233" spans="1:9">
      <c r="A233" s="225" t="s">
        <v>815</v>
      </c>
      <c r="B233" s="225" t="s">
        <v>4783</v>
      </c>
      <c r="C233" s="1" t="s">
        <v>4784</v>
      </c>
      <c r="D233" s="7">
        <v>7322</v>
      </c>
      <c r="E233" s="226"/>
      <c r="F233" s="225" t="s">
        <v>4527</v>
      </c>
      <c r="G233" s="1"/>
      <c r="I233" s="1"/>
    </row>
    <row r="234" spans="1:9">
      <c r="A234" s="225" t="s">
        <v>816</v>
      </c>
      <c r="B234" s="225" t="s">
        <v>4785</v>
      </c>
      <c r="C234" s="1" t="s">
        <v>4786</v>
      </c>
      <c r="D234" s="7">
        <v>4605</v>
      </c>
      <c r="E234" s="226"/>
      <c r="F234" s="225" t="s">
        <v>4527</v>
      </c>
      <c r="G234" s="1"/>
      <c r="I234" s="1"/>
    </row>
    <row r="235" spans="1:9">
      <c r="A235" s="225" t="s">
        <v>826</v>
      </c>
      <c r="B235" s="225" t="s">
        <v>4787</v>
      </c>
      <c r="C235" s="1" t="s">
        <v>4788</v>
      </c>
      <c r="D235" s="7">
        <v>2924</v>
      </c>
      <c r="E235" s="226"/>
      <c r="F235" s="225" t="s">
        <v>4527</v>
      </c>
      <c r="G235" s="1"/>
      <c r="I235" s="1"/>
    </row>
    <row r="236" spans="1:9">
      <c r="A236" s="225" t="s">
        <v>827</v>
      </c>
      <c r="B236" s="225" t="s">
        <v>4789</v>
      </c>
      <c r="C236" s="1" t="s">
        <v>4790</v>
      </c>
      <c r="D236" s="7">
        <v>7687</v>
      </c>
      <c r="E236" s="226"/>
      <c r="F236" s="225" t="s">
        <v>4527</v>
      </c>
      <c r="G236" s="1"/>
      <c r="I236" s="1"/>
    </row>
    <row r="237" spans="1:9">
      <c r="A237" s="225" t="s">
        <v>828</v>
      </c>
      <c r="B237" s="225" t="s">
        <v>4791</v>
      </c>
      <c r="C237" s="1" t="s">
        <v>4792</v>
      </c>
      <c r="D237" s="8">
        <v>5440</v>
      </c>
      <c r="E237" s="226"/>
      <c r="F237" s="225" t="s">
        <v>4530</v>
      </c>
      <c r="G237" s="1"/>
      <c r="I237" s="1"/>
    </row>
    <row r="238" spans="1:9">
      <c r="A238" s="225" t="s">
        <v>829</v>
      </c>
      <c r="B238" s="225" t="s">
        <v>4793</v>
      </c>
      <c r="C238" s="1" t="s">
        <v>4794</v>
      </c>
      <c r="D238" s="7">
        <v>4510</v>
      </c>
      <c r="E238" s="226"/>
      <c r="F238" s="225" t="s">
        <v>4527</v>
      </c>
      <c r="G238" s="1"/>
      <c r="I238" s="1"/>
    </row>
    <row r="239" spans="1:9">
      <c r="A239" s="225" t="s">
        <v>830</v>
      </c>
      <c r="B239" s="225" t="s">
        <v>4795</v>
      </c>
      <c r="C239" s="1" t="s">
        <v>4796</v>
      </c>
      <c r="D239" s="7">
        <v>6662</v>
      </c>
      <c r="E239" s="226"/>
      <c r="F239" s="225" t="s">
        <v>4527</v>
      </c>
      <c r="G239" s="1"/>
      <c r="I239" s="1"/>
    </row>
    <row r="240" spans="1:9">
      <c r="A240" s="225" t="s">
        <v>831</v>
      </c>
      <c r="B240" s="225" t="s">
        <v>4797</v>
      </c>
      <c r="C240" s="1" t="s">
        <v>4798</v>
      </c>
      <c r="D240" s="7">
        <v>7900</v>
      </c>
      <c r="E240" s="226"/>
      <c r="F240" s="225" t="s">
        <v>4527</v>
      </c>
      <c r="G240" s="1"/>
      <c r="I240" s="1"/>
    </row>
    <row r="241" spans="1:9">
      <c r="A241" s="225" t="s">
        <v>832</v>
      </c>
      <c r="B241" s="225" t="s">
        <v>4799</v>
      </c>
      <c r="C241" s="1" t="s">
        <v>4800</v>
      </c>
      <c r="D241" s="7">
        <v>5237</v>
      </c>
      <c r="E241" s="226"/>
      <c r="F241" s="225" t="s">
        <v>4527</v>
      </c>
      <c r="G241" s="1"/>
      <c r="I241" s="1"/>
    </row>
    <row r="242" spans="1:9">
      <c r="A242" s="225" t="s">
        <v>833</v>
      </c>
      <c r="B242" s="225" t="s">
        <v>4801</v>
      </c>
      <c r="C242" s="1" t="s">
        <v>4802</v>
      </c>
      <c r="D242" s="7">
        <v>4651</v>
      </c>
      <c r="E242" s="226"/>
      <c r="F242" s="225" t="s">
        <v>4530</v>
      </c>
      <c r="G242" s="1"/>
      <c r="I242" s="1"/>
    </row>
    <row r="243" spans="1:9">
      <c r="A243" s="225" t="s">
        <v>834</v>
      </c>
      <c r="B243" s="225" t="s">
        <v>4803</v>
      </c>
      <c r="C243" s="1" t="s">
        <v>4804</v>
      </c>
      <c r="D243" s="7">
        <v>6606</v>
      </c>
      <c r="E243" s="226"/>
      <c r="F243" s="225" t="s">
        <v>4527</v>
      </c>
      <c r="G243" s="1"/>
      <c r="I243" s="1"/>
    </row>
    <row r="244" spans="1:9">
      <c r="A244" s="225" t="s">
        <v>835</v>
      </c>
      <c r="B244" s="225" t="s">
        <v>4805</v>
      </c>
      <c r="C244" s="1" t="s">
        <v>4806</v>
      </c>
      <c r="D244" s="7">
        <v>5471</v>
      </c>
      <c r="E244" s="226"/>
      <c r="F244" s="225" t="s">
        <v>4530</v>
      </c>
      <c r="G244" s="1"/>
      <c r="I244" s="1"/>
    </row>
    <row r="245" spans="1:9">
      <c r="A245" s="225" t="s">
        <v>836</v>
      </c>
      <c r="B245" s="225" t="s">
        <v>4807</v>
      </c>
      <c r="C245" s="1" t="s">
        <v>4808</v>
      </c>
      <c r="D245" s="7">
        <v>2475</v>
      </c>
      <c r="E245" s="226"/>
      <c r="F245" s="225" t="s">
        <v>4527</v>
      </c>
      <c r="G245" s="1"/>
      <c r="I245" s="1"/>
    </row>
    <row r="246" spans="1:9">
      <c r="A246" s="226"/>
      <c r="B246" s="226"/>
      <c r="D246" s="231"/>
      <c r="E246" s="226"/>
      <c r="F246" s="226"/>
    </row>
    <row r="247" spans="1:9">
      <c r="A247" s="225" t="s">
        <v>4809</v>
      </c>
      <c r="D247" s="229">
        <f>SUM(D230:D236)+SUM(D238:D241)+D243+D245</f>
        <v>68066</v>
      </c>
      <c r="E247" s="226"/>
      <c r="F247" s="226"/>
    </row>
    <row r="248" spans="1:9">
      <c r="A248" s="225" t="s">
        <v>4718</v>
      </c>
      <c r="D248" s="229">
        <f>D237+D242+D244</f>
        <v>15562</v>
      </c>
      <c r="E248" s="226"/>
      <c r="F248" s="226"/>
    </row>
    <row r="249" spans="1:9">
      <c r="A249" s="225"/>
      <c r="D249" s="229"/>
      <c r="E249" s="226"/>
      <c r="F249" s="226"/>
    </row>
    <row r="250" spans="1:9">
      <c r="A250" s="225" t="s">
        <v>4810</v>
      </c>
      <c r="D250" s="229"/>
      <c r="E250" s="226"/>
      <c r="F250" s="226"/>
    </row>
    <row r="251" spans="1:9">
      <c r="A251" s="225"/>
      <c r="B251" s="225"/>
      <c r="D251" s="238"/>
      <c r="E251" s="226"/>
      <c r="F251" s="226"/>
    </row>
    <row r="252" spans="1:9">
      <c r="A252" s="225"/>
      <c r="B252" s="225"/>
      <c r="D252" s="238"/>
      <c r="E252" s="226"/>
      <c r="F252" s="226"/>
    </row>
    <row r="253" spans="1:9">
      <c r="A253" s="226"/>
      <c r="B253" s="226"/>
      <c r="D253" s="10" t="s">
        <v>285</v>
      </c>
      <c r="E253" s="38"/>
      <c r="F253" s="38" t="s">
        <v>4116</v>
      </c>
    </row>
    <row r="254" spans="1:9">
      <c r="A254" s="226"/>
      <c r="B254" s="226"/>
      <c r="D254" s="39">
        <v>2016</v>
      </c>
      <c r="E254" s="226"/>
      <c r="F254" s="41" t="s">
        <v>286</v>
      </c>
    </row>
    <row r="255" spans="1:9">
      <c r="A255" s="225" t="s">
        <v>4811</v>
      </c>
      <c r="D255" s="229">
        <f t="shared" ref="D255" si="31">SUM(D256:D271)</f>
        <v>36820</v>
      </c>
      <c r="E255" s="226"/>
      <c r="F255" s="226"/>
    </row>
    <row r="256" spans="1:9">
      <c r="A256" s="225" t="s">
        <v>812</v>
      </c>
      <c r="B256" s="225" t="s">
        <v>4812</v>
      </c>
      <c r="C256" s="1" t="s">
        <v>4813</v>
      </c>
      <c r="D256" s="13">
        <v>2536</v>
      </c>
      <c r="E256" s="226"/>
      <c r="F256" s="225" t="s">
        <v>4545</v>
      </c>
      <c r="G256" s="1"/>
      <c r="I256" s="1"/>
    </row>
    <row r="257" spans="1:9">
      <c r="A257" s="225" t="s">
        <v>813</v>
      </c>
      <c r="B257" s="225" t="s">
        <v>4814</v>
      </c>
      <c r="C257" s="1" t="s">
        <v>4815</v>
      </c>
      <c r="D257" s="13">
        <v>2833</v>
      </c>
      <c r="E257" s="226"/>
      <c r="F257" s="225" t="s">
        <v>4545</v>
      </c>
      <c r="G257" s="1"/>
      <c r="I257" s="1"/>
    </row>
    <row r="258" spans="1:9">
      <c r="A258" s="225" t="s">
        <v>814</v>
      </c>
      <c r="B258" s="225" t="s">
        <v>4816</v>
      </c>
      <c r="C258" s="1" t="s">
        <v>4817</v>
      </c>
      <c r="D258" s="13">
        <v>1455</v>
      </c>
      <c r="E258" s="226"/>
      <c r="F258" s="225" t="s">
        <v>4545</v>
      </c>
      <c r="G258" s="1"/>
      <c r="I258" s="1"/>
    </row>
    <row r="259" spans="1:9">
      <c r="A259" s="225" t="s">
        <v>815</v>
      </c>
      <c r="B259" s="225" t="s">
        <v>4818</v>
      </c>
      <c r="C259" s="1" t="s">
        <v>4819</v>
      </c>
      <c r="D259" s="13">
        <v>1409</v>
      </c>
      <c r="E259" s="226"/>
      <c r="F259" s="225" t="s">
        <v>4545</v>
      </c>
      <c r="G259" s="1"/>
      <c r="I259" s="1"/>
    </row>
    <row r="260" spans="1:9">
      <c r="A260" s="225" t="s">
        <v>816</v>
      </c>
      <c r="B260" s="225" t="s">
        <v>4820</v>
      </c>
      <c r="C260" s="1" t="s">
        <v>4821</v>
      </c>
      <c r="D260" s="13">
        <v>1336</v>
      </c>
      <c r="E260" s="226"/>
      <c r="F260" s="225" t="s">
        <v>4545</v>
      </c>
      <c r="G260" s="1"/>
      <c r="I260" s="1"/>
    </row>
    <row r="261" spans="1:9">
      <c r="A261" s="225" t="s">
        <v>826</v>
      </c>
      <c r="B261" s="225" t="s">
        <v>4822</v>
      </c>
      <c r="C261" s="1" t="s">
        <v>4823</v>
      </c>
      <c r="D261" s="13">
        <v>3153</v>
      </c>
      <c r="E261" s="226"/>
      <c r="F261" s="225" t="s">
        <v>4545</v>
      </c>
      <c r="G261" s="1"/>
      <c r="I261" s="1"/>
    </row>
    <row r="262" spans="1:9">
      <c r="A262" s="225" t="s">
        <v>827</v>
      </c>
      <c r="B262" s="225" t="s">
        <v>4824</v>
      </c>
      <c r="C262" s="1" t="s">
        <v>4825</v>
      </c>
      <c r="D262" s="13">
        <v>2595</v>
      </c>
      <c r="E262" s="226"/>
      <c r="F262" s="225" t="s">
        <v>4545</v>
      </c>
      <c r="G262" s="1"/>
      <c r="I262" s="1"/>
    </row>
    <row r="263" spans="1:9">
      <c r="A263" s="225" t="s">
        <v>828</v>
      </c>
      <c r="B263" s="225" t="s">
        <v>4826</v>
      </c>
      <c r="C263" s="1" t="s">
        <v>4827</v>
      </c>
      <c r="D263" s="13">
        <v>3767</v>
      </c>
      <c r="E263" s="226"/>
      <c r="F263" s="225" t="s">
        <v>4545</v>
      </c>
      <c r="G263" s="1"/>
      <c r="I263" s="1"/>
    </row>
    <row r="264" spans="1:9">
      <c r="A264" s="225" t="s">
        <v>829</v>
      </c>
      <c r="B264" s="225" t="s">
        <v>4828</v>
      </c>
      <c r="C264" s="1" t="s">
        <v>4829</v>
      </c>
      <c r="D264" s="13">
        <v>2608</v>
      </c>
      <c r="E264" s="226"/>
      <c r="F264" s="225" t="s">
        <v>4545</v>
      </c>
      <c r="G264" s="1"/>
      <c r="I264" s="1"/>
    </row>
    <row r="265" spans="1:9">
      <c r="A265" s="225" t="s">
        <v>830</v>
      </c>
      <c r="B265" s="225" t="s">
        <v>4830</v>
      </c>
      <c r="C265" s="1" t="s">
        <v>4831</v>
      </c>
      <c r="D265" s="13">
        <v>3656</v>
      </c>
      <c r="E265" s="226"/>
      <c r="F265" s="225" t="s">
        <v>4545</v>
      </c>
      <c r="G265" s="1"/>
      <c r="I265" s="1"/>
    </row>
    <row r="266" spans="1:9">
      <c r="A266" s="225" t="s">
        <v>831</v>
      </c>
      <c r="B266" s="225" t="s">
        <v>4832</v>
      </c>
      <c r="C266" s="1" t="s">
        <v>4833</v>
      </c>
      <c r="D266" s="13">
        <v>3816</v>
      </c>
      <c r="E266" s="226"/>
      <c r="F266" s="225" t="s">
        <v>4545</v>
      </c>
      <c r="G266" s="1"/>
      <c r="I266" s="1"/>
    </row>
    <row r="267" spans="1:9">
      <c r="A267" s="225" t="s">
        <v>832</v>
      </c>
      <c r="B267" s="225" t="s">
        <v>4834</v>
      </c>
      <c r="C267" s="1" t="s">
        <v>4835</v>
      </c>
      <c r="D267" s="13">
        <v>2383</v>
      </c>
      <c r="E267" s="226"/>
      <c r="F267" s="225" t="s">
        <v>4545</v>
      </c>
      <c r="G267" s="1"/>
      <c r="I267" s="1"/>
    </row>
    <row r="268" spans="1:9">
      <c r="A268" s="225" t="s">
        <v>833</v>
      </c>
      <c r="B268" s="225" t="s">
        <v>4836</v>
      </c>
      <c r="C268" s="1" t="s">
        <v>4837</v>
      </c>
      <c r="D268" s="13">
        <v>1482</v>
      </c>
      <c r="E268" s="226"/>
      <c r="F268" s="225" t="s">
        <v>4545</v>
      </c>
      <c r="G268" s="1"/>
      <c r="I268" s="1"/>
    </row>
    <row r="269" spans="1:9">
      <c r="A269" s="225" t="s">
        <v>834</v>
      </c>
      <c r="B269" s="225" t="s">
        <v>4838</v>
      </c>
      <c r="C269" s="1" t="s">
        <v>4839</v>
      </c>
      <c r="D269" s="13">
        <v>1374</v>
      </c>
      <c r="E269" s="226"/>
      <c r="F269" s="225" t="s">
        <v>4545</v>
      </c>
      <c r="G269" s="1"/>
      <c r="I269" s="1"/>
    </row>
    <row r="270" spans="1:9">
      <c r="A270" s="225" t="s">
        <v>835</v>
      </c>
      <c r="B270" s="225" t="s">
        <v>4840</v>
      </c>
      <c r="C270" s="1" t="s">
        <v>4841</v>
      </c>
      <c r="D270" s="13">
        <v>1269</v>
      </c>
      <c r="E270" s="226"/>
      <c r="F270" s="225" t="s">
        <v>4545</v>
      </c>
      <c r="G270" s="1"/>
      <c r="I270" s="1"/>
    </row>
    <row r="271" spans="1:9">
      <c r="A271" s="225" t="s">
        <v>836</v>
      </c>
      <c r="B271" s="225" t="s">
        <v>4842</v>
      </c>
      <c r="C271" s="1" t="s">
        <v>4843</v>
      </c>
      <c r="D271" s="13">
        <v>1148</v>
      </c>
      <c r="E271" s="226"/>
      <c r="F271" s="225" t="s">
        <v>4545</v>
      </c>
      <c r="G271" s="1"/>
      <c r="I271" s="1"/>
    </row>
    <row r="272" spans="1:9">
      <c r="A272" s="226"/>
      <c r="B272" s="226"/>
      <c r="D272" s="231"/>
      <c r="E272" s="226"/>
      <c r="F272" s="226"/>
    </row>
    <row r="273" spans="1:9">
      <c r="A273" s="225" t="s">
        <v>4621</v>
      </c>
      <c r="D273" s="229">
        <f t="shared" ref="D273" si="32">SUM(D256:D271)</f>
        <v>36820</v>
      </c>
      <c r="E273" s="226"/>
      <c r="F273" s="226"/>
    </row>
    <row r="274" spans="1:9">
      <c r="A274" s="225"/>
      <c r="D274" s="229"/>
      <c r="E274" s="226"/>
      <c r="F274" s="226"/>
    </row>
    <row r="275" spans="1:9">
      <c r="A275" s="225" t="s">
        <v>4844</v>
      </c>
      <c r="D275" s="229"/>
      <c r="E275" s="226"/>
      <c r="F275" s="226"/>
    </row>
    <row r="276" spans="1:9">
      <c r="A276" s="225"/>
      <c r="B276" s="225"/>
      <c r="D276" s="238"/>
      <c r="E276" s="226"/>
      <c r="F276" s="226"/>
    </row>
    <row r="277" spans="1:9">
      <c r="A277" s="225"/>
      <c r="B277" s="225"/>
      <c r="D277" s="238"/>
      <c r="E277" s="226"/>
      <c r="F277" s="226"/>
    </row>
    <row r="278" spans="1:9">
      <c r="A278" s="226"/>
      <c r="B278" s="226"/>
      <c r="D278" s="10" t="s">
        <v>285</v>
      </c>
      <c r="E278" s="38"/>
      <c r="F278" s="38" t="s">
        <v>4116</v>
      </c>
    </row>
    <row r="279" spans="1:9">
      <c r="A279" s="226"/>
      <c r="B279" s="226"/>
      <c r="D279" s="39">
        <v>2016</v>
      </c>
      <c r="E279" s="226"/>
      <c r="F279" s="41" t="s">
        <v>286</v>
      </c>
    </row>
    <row r="280" spans="1:9">
      <c r="A280" s="225" t="s">
        <v>4845</v>
      </c>
      <c r="D280" s="229">
        <f t="shared" ref="D280" si="33">SUM(D281:D318)</f>
        <v>71377</v>
      </c>
      <c r="E280" s="226"/>
      <c r="F280" s="226"/>
    </row>
    <row r="281" spans="1:9">
      <c r="A281" s="225" t="s">
        <v>812</v>
      </c>
      <c r="B281" s="225" t="s">
        <v>4846</v>
      </c>
      <c r="C281" s="1" t="s">
        <v>4847</v>
      </c>
      <c r="D281" s="7">
        <v>1731</v>
      </c>
      <c r="E281" s="226"/>
      <c r="F281" s="225" t="s">
        <v>4527</v>
      </c>
      <c r="G281" s="1"/>
      <c r="I281" s="1"/>
    </row>
    <row r="282" spans="1:9">
      <c r="A282" s="225" t="s">
        <v>813</v>
      </c>
      <c r="B282" s="225" t="s">
        <v>4848</v>
      </c>
      <c r="C282" s="1" t="s">
        <v>4849</v>
      </c>
      <c r="D282" s="7">
        <v>2101</v>
      </c>
      <c r="E282" s="226"/>
      <c r="F282" s="225" t="s">
        <v>4544</v>
      </c>
      <c r="G282" s="1"/>
      <c r="I282" s="1"/>
    </row>
    <row r="283" spans="1:9">
      <c r="A283" s="225" t="s">
        <v>814</v>
      </c>
      <c r="B283" s="225" t="s">
        <v>4850</v>
      </c>
      <c r="C283" s="1" t="s">
        <v>4851</v>
      </c>
      <c r="D283" s="7">
        <v>1995</v>
      </c>
      <c r="E283" s="226"/>
      <c r="F283" s="225" t="s">
        <v>4544</v>
      </c>
      <c r="G283" s="1"/>
      <c r="I283" s="1"/>
    </row>
    <row r="284" spans="1:9">
      <c r="A284" s="225" t="s">
        <v>815</v>
      </c>
      <c r="B284" s="225" t="s">
        <v>4852</v>
      </c>
      <c r="C284" s="1" t="s">
        <v>4853</v>
      </c>
      <c r="D284" s="7">
        <v>1941</v>
      </c>
      <c r="E284" s="226"/>
      <c r="F284" s="225" t="s">
        <v>4544</v>
      </c>
      <c r="G284" s="1"/>
      <c r="I284" s="1"/>
    </row>
    <row r="285" spans="1:9">
      <c r="A285" s="225" t="s">
        <v>816</v>
      </c>
      <c r="B285" s="228" t="s">
        <v>4854</v>
      </c>
      <c r="C285" s="1" t="s">
        <v>4855</v>
      </c>
      <c r="D285" s="7">
        <v>1951</v>
      </c>
      <c r="E285" s="226"/>
      <c r="F285" s="225" t="s">
        <v>4544</v>
      </c>
      <c r="G285" s="1"/>
      <c r="I285" s="1"/>
    </row>
    <row r="286" spans="1:9">
      <c r="A286" s="225" t="s">
        <v>826</v>
      </c>
      <c r="B286" s="228" t="s">
        <v>4856</v>
      </c>
      <c r="C286" s="1" t="s">
        <v>4857</v>
      </c>
      <c r="D286" s="7">
        <v>1977</v>
      </c>
      <c r="E286" s="226"/>
      <c r="F286" s="225" t="s">
        <v>4544</v>
      </c>
      <c r="G286" s="1"/>
      <c r="I286" s="1"/>
    </row>
    <row r="287" spans="1:9">
      <c r="A287" s="225" t="s">
        <v>827</v>
      </c>
      <c r="B287" s="228" t="s">
        <v>4858</v>
      </c>
      <c r="C287" s="1" t="s">
        <v>4859</v>
      </c>
      <c r="D287" s="7">
        <v>1866</v>
      </c>
      <c r="E287" s="226"/>
      <c r="F287" s="225" t="s">
        <v>4544</v>
      </c>
      <c r="G287" s="1"/>
      <c r="I287" s="1"/>
    </row>
    <row r="288" spans="1:9">
      <c r="A288" s="225" t="s">
        <v>828</v>
      </c>
      <c r="B288" s="225" t="s">
        <v>4860</v>
      </c>
      <c r="C288" s="1" t="s">
        <v>4861</v>
      </c>
      <c r="D288" s="7">
        <v>1724</v>
      </c>
      <c r="E288" s="226"/>
      <c r="F288" s="225" t="s">
        <v>4544</v>
      </c>
      <c r="G288" s="1"/>
      <c r="I288" s="1"/>
    </row>
    <row r="289" spans="1:9">
      <c r="A289" s="225" t="s">
        <v>829</v>
      </c>
      <c r="B289" s="225" t="s">
        <v>4862</v>
      </c>
      <c r="C289" s="1" t="s">
        <v>4863</v>
      </c>
      <c r="D289" s="7">
        <v>1987</v>
      </c>
      <c r="E289" s="226"/>
      <c r="F289" s="225" t="s">
        <v>4544</v>
      </c>
      <c r="G289" s="1"/>
      <c r="I289" s="1"/>
    </row>
    <row r="290" spans="1:9">
      <c r="A290" s="225" t="s">
        <v>830</v>
      </c>
      <c r="B290" s="228" t="s">
        <v>4864</v>
      </c>
      <c r="C290" s="1" t="s">
        <v>4865</v>
      </c>
      <c r="D290" s="7">
        <v>2056</v>
      </c>
      <c r="E290" s="226"/>
      <c r="F290" s="225" t="s">
        <v>4544</v>
      </c>
      <c r="G290" s="1"/>
      <c r="I290" s="1"/>
    </row>
    <row r="291" spans="1:9">
      <c r="A291" s="225" t="s">
        <v>831</v>
      </c>
      <c r="B291" s="225" t="s">
        <v>4866</v>
      </c>
      <c r="C291" s="1" t="s">
        <v>4867</v>
      </c>
      <c r="D291" s="7">
        <v>2013</v>
      </c>
      <c r="E291" s="226"/>
      <c r="F291" s="225" t="s">
        <v>4544</v>
      </c>
      <c r="G291" s="1"/>
      <c r="I291" s="1"/>
    </row>
    <row r="292" spans="1:9">
      <c r="A292" s="225" t="s">
        <v>832</v>
      </c>
      <c r="B292" s="225" t="s">
        <v>4868</v>
      </c>
      <c r="C292" s="1" t="s">
        <v>4869</v>
      </c>
      <c r="D292" s="7">
        <v>1905</v>
      </c>
      <c r="E292" s="226"/>
      <c r="F292" s="225" t="s">
        <v>4544</v>
      </c>
      <c r="G292" s="1"/>
      <c r="I292" s="1"/>
    </row>
    <row r="293" spans="1:9">
      <c r="A293" s="225" t="s">
        <v>833</v>
      </c>
      <c r="B293" s="225" t="s">
        <v>4870</v>
      </c>
      <c r="C293" s="1" t="s">
        <v>4871</v>
      </c>
      <c r="D293" s="7">
        <v>1236</v>
      </c>
      <c r="E293" s="226"/>
      <c r="F293" s="225" t="s">
        <v>4544</v>
      </c>
      <c r="G293" s="1"/>
      <c r="I293" s="1"/>
    </row>
    <row r="294" spans="1:9">
      <c r="A294" s="225" t="s">
        <v>834</v>
      </c>
      <c r="B294" s="225" t="s">
        <v>4872</v>
      </c>
      <c r="C294" s="1" t="s">
        <v>4873</v>
      </c>
      <c r="D294" s="7">
        <v>1767</v>
      </c>
      <c r="E294" s="226"/>
      <c r="F294" s="225" t="s">
        <v>4544</v>
      </c>
      <c r="G294" s="1"/>
      <c r="I294" s="1"/>
    </row>
    <row r="295" spans="1:9">
      <c r="A295" s="225" t="s">
        <v>835</v>
      </c>
      <c r="B295" s="225" t="s">
        <v>4874</v>
      </c>
      <c r="C295" s="1" t="s">
        <v>4875</v>
      </c>
      <c r="D295" s="7">
        <v>2026</v>
      </c>
      <c r="E295" s="226"/>
      <c r="F295" s="225" t="s">
        <v>4544</v>
      </c>
      <c r="G295" s="1"/>
      <c r="I295" s="1"/>
    </row>
    <row r="296" spans="1:9">
      <c r="A296" s="225" t="s">
        <v>836</v>
      </c>
      <c r="B296" s="228" t="s">
        <v>4876</v>
      </c>
      <c r="C296" s="1" t="s">
        <v>4877</v>
      </c>
      <c r="D296" s="8">
        <v>1720</v>
      </c>
      <c r="E296" s="226"/>
      <c r="F296" s="225" t="s">
        <v>4544</v>
      </c>
      <c r="G296" s="1"/>
      <c r="I296" s="1"/>
    </row>
    <row r="297" spans="1:9">
      <c r="A297" s="225" t="s">
        <v>837</v>
      </c>
      <c r="B297" s="228" t="s">
        <v>4878</v>
      </c>
      <c r="C297" s="1" t="s">
        <v>4879</v>
      </c>
      <c r="D297" s="8">
        <v>1666</v>
      </c>
      <c r="E297" s="226"/>
      <c r="F297" s="225" t="s">
        <v>4544</v>
      </c>
      <c r="G297" s="1"/>
      <c r="I297" s="1"/>
    </row>
    <row r="298" spans="1:9">
      <c r="A298" s="225" t="s">
        <v>838</v>
      </c>
      <c r="B298" s="228" t="s">
        <v>4880</v>
      </c>
      <c r="C298" s="1" t="s">
        <v>4881</v>
      </c>
      <c r="D298" s="8">
        <v>1906</v>
      </c>
      <c r="E298" s="226"/>
      <c r="F298" s="225" t="s">
        <v>4527</v>
      </c>
      <c r="G298" s="1"/>
      <c r="I298" s="1"/>
    </row>
    <row r="299" spans="1:9">
      <c r="A299" s="225" t="s">
        <v>840</v>
      </c>
      <c r="B299" s="225" t="s">
        <v>4882</v>
      </c>
      <c r="C299" s="1" t="s">
        <v>4883</v>
      </c>
      <c r="D299" s="8">
        <v>1994</v>
      </c>
      <c r="E299" s="226"/>
      <c r="F299" s="225" t="s">
        <v>4544</v>
      </c>
      <c r="G299" s="1"/>
      <c r="I299" s="1"/>
    </row>
    <row r="300" spans="1:9">
      <c r="A300" s="225" t="s">
        <v>841</v>
      </c>
      <c r="B300" s="228" t="s">
        <v>4884</v>
      </c>
      <c r="C300" s="1" t="s">
        <v>4885</v>
      </c>
      <c r="D300" s="8">
        <v>1767</v>
      </c>
      <c r="E300" s="226"/>
      <c r="F300" s="225" t="s">
        <v>4544</v>
      </c>
      <c r="G300" s="1"/>
      <c r="I300" s="1"/>
    </row>
    <row r="301" spans="1:9">
      <c r="A301" s="225" t="s">
        <v>878</v>
      </c>
      <c r="B301" s="228" t="s">
        <v>4886</v>
      </c>
      <c r="C301" s="1" t="s">
        <v>4887</v>
      </c>
      <c r="D301" s="8">
        <v>1986</v>
      </c>
      <c r="E301" s="226"/>
      <c r="F301" s="225" t="s">
        <v>4544</v>
      </c>
      <c r="G301" s="1"/>
      <c r="I301" s="1"/>
    </row>
    <row r="302" spans="1:9">
      <c r="A302" s="225" t="s">
        <v>879</v>
      </c>
      <c r="B302" s="225" t="s">
        <v>4888</v>
      </c>
      <c r="C302" s="1" t="s">
        <v>4889</v>
      </c>
      <c r="D302" s="8">
        <v>1385</v>
      </c>
      <c r="E302" s="226"/>
      <c r="F302" s="225" t="s">
        <v>4544</v>
      </c>
      <c r="G302" s="1"/>
      <c r="I302" s="1"/>
    </row>
    <row r="303" spans="1:9">
      <c r="A303" s="225" t="s">
        <v>880</v>
      </c>
      <c r="B303" s="228" t="s">
        <v>4890</v>
      </c>
      <c r="C303" s="1" t="s">
        <v>4891</v>
      </c>
      <c r="D303" s="8">
        <v>1901</v>
      </c>
      <c r="E303" s="226"/>
      <c r="F303" s="225" t="s">
        <v>4544</v>
      </c>
      <c r="G303" s="1"/>
      <c r="I303" s="1"/>
    </row>
    <row r="304" spans="1:9">
      <c r="A304" s="225" t="s">
        <v>721</v>
      </c>
      <c r="B304" s="225" t="s">
        <v>4892</v>
      </c>
      <c r="C304" s="1" t="s">
        <v>4893</v>
      </c>
      <c r="D304" s="8">
        <v>1866</v>
      </c>
      <c r="E304" s="226"/>
      <c r="F304" s="225" t="s">
        <v>4527</v>
      </c>
      <c r="G304" s="1"/>
      <c r="I304" s="1"/>
    </row>
    <row r="305" spans="1:9">
      <c r="A305" s="225" t="s">
        <v>722</v>
      </c>
      <c r="B305" s="228" t="s">
        <v>4894</v>
      </c>
      <c r="C305" s="1" t="s">
        <v>4895</v>
      </c>
      <c r="D305" s="8">
        <v>1801</v>
      </c>
      <c r="E305" s="226"/>
      <c r="F305" s="225" t="s">
        <v>4527</v>
      </c>
      <c r="G305" s="1"/>
      <c r="I305" s="1"/>
    </row>
    <row r="306" spans="1:9">
      <c r="A306" s="225" t="s">
        <v>723</v>
      </c>
      <c r="B306" s="228" t="s">
        <v>4896</v>
      </c>
      <c r="C306" s="1" t="s">
        <v>4897</v>
      </c>
      <c r="D306" s="8">
        <v>1709</v>
      </c>
      <c r="E306" s="226"/>
      <c r="F306" s="225" t="s">
        <v>4544</v>
      </c>
      <c r="G306" s="1"/>
      <c r="I306" s="1"/>
    </row>
    <row r="307" spans="1:9">
      <c r="A307" s="225" t="s">
        <v>733</v>
      </c>
      <c r="B307" s="225" t="s">
        <v>4898</v>
      </c>
      <c r="C307" s="1" t="s">
        <v>4899</v>
      </c>
      <c r="D307" s="8">
        <v>2017</v>
      </c>
      <c r="E307" s="226"/>
      <c r="F307" s="225" t="s">
        <v>4544</v>
      </c>
      <c r="G307" s="1"/>
      <c r="I307" s="1"/>
    </row>
    <row r="308" spans="1:9">
      <c r="A308" s="225" t="s">
        <v>734</v>
      </c>
      <c r="B308" s="228" t="s">
        <v>4900</v>
      </c>
      <c r="C308" s="1" t="s">
        <v>4901</v>
      </c>
      <c r="D308" s="8">
        <v>1852</v>
      </c>
      <c r="E308" s="226"/>
      <c r="F308" s="225" t="s">
        <v>4544</v>
      </c>
      <c r="G308" s="1"/>
      <c r="I308" s="1"/>
    </row>
    <row r="309" spans="1:9">
      <c r="A309" s="239">
        <v>29</v>
      </c>
      <c r="B309" s="225" t="s">
        <v>4902</v>
      </c>
      <c r="C309" s="1" t="s">
        <v>4903</v>
      </c>
      <c r="D309" s="8">
        <v>1829</v>
      </c>
      <c r="E309" s="226"/>
      <c r="F309" s="225" t="s">
        <v>4544</v>
      </c>
      <c r="G309" s="1"/>
      <c r="I309" s="1"/>
    </row>
    <row r="310" spans="1:9">
      <c r="A310" s="239">
        <v>30</v>
      </c>
      <c r="B310" s="225" t="s">
        <v>4904</v>
      </c>
      <c r="C310" s="1" t="s">
        <v>4905</v>
      </c>
      <c r="D310" s="8">
        <v>1943</v>
      </c>
      <c r="E310" s="226"/>
      <c r="F310" s="225" t="s">
        <v>4544</v>
      </c>
      <c r="G310" s="1"/>
      <c r="I310" s="1"/>
    </row>
    <row r="311" spans="1:9">
      <c r="A311" s="239">
        <v>31</v>
      </c>
      <c r="B311" s="225" t="s">
        <v>4906</v>
      </c>
      <c r="C311" s="1" t="s">
        <v>4907</v>
      </c>
      <c r="D311" s="8">
        <v>1936</v>
      </c>
      <c r="E311" s="226"/>
      <c r="F311" s="225" t="s">
        <v>4544</v>
      </c>
      <c r="G311" s="1"/>
      <c r="I311" s="1"/>
    </row>
    <row r="312" spans="1:9">
      <c r="A312" s="239">
        <v>32</v>
      </c>
      <c r="B312" s="225" t="s">
        <v>4908</v>
      </c>
      <c r="C312" s="1" t="s">
        <v>4909</v>
      </c>
      <c r="D312" s="8">
        <v>2191</v>
      </c>
      <c r="E312" s="226"/>
      <c r="F312" s="225" t="s">
        <v>4527</v>
      </c>
      <c r="G312" s="1"/>
      <c r="I312" s="1"/>
    </row>
    <row r="313" spans="1:9">
      <c r="A313" s="239">
        <v>33</v>
      </c>
      <c r="B313" s="225" t="s">
        <v>4910</v>
      </c>
      <c r="C313" s="1" t="s">
        <v>4911</v>
      </c>
      <c r="D313" s="8">
        <v>1673</v>
      </c>
      <c r="E313" s="226"/>
      <c r="F313" s="225" t="s">
        <v>4544</v>
      </c>
      <c r="G313" s="1"/>
      <c r="I313" s="1"/>
    </row>
    <row r="314" spans="1:9">
      <c r="A314" s="239">
        <v>34</v>
      </c>
      <c r="B314" s="228" t="s">
        <v>4912</v>
      </c>
      <c r="C314" s="1" t="s">
        <v>4913</v>
      </c>
      <c r="D314" s="8">
        <v>1705</v>
      </c>
      <c r="E314" s="226"/>
      <c r="F314" s="225" t="s">
        <v>4544</v>
      </c>
      <c r="G314" s="1"/>
      <c r="I314" s="1"/>
    </row>
    <row r="315" spans="1:9">
      <c r="A315" s="239">
        <v>35</v>
      </c>
      <c r="B315" s="228" t="s">
        <v>4914</v>
      </c>
      <c r="C315" s="1" t="s">
        <v>4915</v>
      </c>
      <c r="D315" s="8">
        <v>1996</v>
      </c>
      <c r="E315" s="226"/>
      <c r="F315" s="225" t="s">
        <v>4544</v>
      </c>
      <c r="G315" s="1"/>
      <c r="I315" s="1"/>
    </row>
    <row r="316" spans="1:9">
      <c r="A316" s="239">
        <v>36</v>
      </c>
      <c r="B316" s="225" t="s">
        <v>4916</v>
      </c>
      <c r="C316" s="1" t="s">
        <v>4917</v>
      </c>
      <c r="D316" s="8">
        <v>1884</v>
      </c>
      <c r="E316" s="226"/>
      <c r="F316" s="225" t="s">
        <v>4544</v>
      </c>
      <c r="G316" s="1"/>
      <c r="I316" s="1"/>
    </row>
    <row r="317" spans="1:9">
      <c r="A317" s="239">
        <v>37</v>
      </c>
      <c r="B317" s="225" t="s">
        <v>919</v>
      </c>
      <c r="C317" s="1" t="s">
        <v>4918</v>
      </c>
      <c r="D317" s="8">
        <v>2123</v>
      </c>
      <c r="E317" s="226"/>
      <c r="F317" s="225" t="s">
        <v>4544</v>
      </c>
      <c r="G317" s="1"/>
      <c r="I317" s="1"/>
    </row>
    <row r="318" spans="1:9">
      <c r="A318" s="239">
        <v>38</v>
      </c>
      <c r="B318" s="225" t="s">
        <v>4919</v>
      </c>
      <c r="C318" s="1" t="s">
        <v>4920</v>
      </c>
      <c r="D318" s="8">
        <v>2251</v>
      </c>
      <c r="E318" s="226"/>
      <c r="F318" s="225" t="s">
        <v>4544</v>
      </c>
      <c r="G318" s="1"/>
      <c r="I318" s="1"/>
    </row>
    <row r="319" spans="1:9">
      <c r="A319" s="239"/>
      <c r="B319" s="225"/>
      <c r="C319" s="1"/>
      <c r="D319" s="8"/>
      <c r="E319" s="226"/>
      <c r="F319" s="225"/>
      <c r="G319" s="1"/>
      <c r="I319" s="1"/>
    </row>
    <row r="320" spans="1:9">
      <c r="A320" s="225" t="s">
        <v>4809</v>
      </c>
      <c r="B320" s="226"/>
      <c r="D320" s="231">
        <f>D281+D298+D304+D305+D312</f>
        <v>9495</v>
      </c>
      <c r="E320" s="226"/>
      <c r="F320" s="226"/>
    </row>
    <row r="321" spans="1:9">
      <c r="A321" s="225" t="s">
        <v>4720</v>
      </c>
      <c r="D321" s="229">
        <f>SUM(D282:D297)+SUM(D299:D303)+SUM(D306:D311)+SUM(D313:D318)</f>
        <v>61882</v>
      </c>
      <c r="E321" s="226"/>
      <c r="F321" s="226"/>
    </row>
    <row r="322" spans="1:9">
      <c r="A322" s="225"/>
      <c r="D322" s="229"/>
      <c r="E322" s="226"/>
      <c r="F322" s="226"/>
    </row>
    <row r="323" spans="1:9">
      <c r="A323" s="225" t="s">
        <v>4921</v>
      </c>
      <c r="D323" s="229"/>
      <c r="E323" s="226"/>
      <c r="F323" s="226"/>
    </row>
    <row r="324" spans="1:9">
      <c r="A324" s="225"/>
      <c r="B324" s="225"/>
      <c r="D324" s="238"/>
      <c r="E324" s="226"/>
      <c r="F324" s="226"/>
    </row>
    <row r="325" spans="1:9">
      <c r="A325" s="225"/>
      <c r="B325" s="225"/>
      <c r="D325" s="238"/>
      <c r="E325" s="226"/>
      <c r="F325" s="226"/>
    </row>
    <row r="326" spans="1:9">
      <c r="A326" s="226"/>
      <c r="B326" s="226"/>
      <c r="D326" s="10" t="s">
        <v>285</v>
      </c>
      <c r="E326" s="38"/>
      <c r="F326" s="38" t="s">
        <v>4116</v>
      </c>
    </row>
    <row r="327" spans="1:9">
      <c r="A327" s="226"/>
      <c r="B327" s="226"/>
      <c r="D327" s="39">
        <v>2016</v>
      </c>
      <c r="E327" s="226"/>
      <c r="F327" s="41" t="s">
        <v>286</v>
      </c>
    </row>
    <row r="328" spans="1:9">
      <c r="A328" s="225" t="s">
        <v>4922</v>
      </c>
      <c r="D328" s="229">
        <f t="shared" ref="D328" si="34">SUM(D329:D338)</f>
        <v>41620</v>
      </c>
      <c r="E328" s="226"/>
      <c r="F328" s="226"/>
    </row>
    <row r="329" spans="1:9">
      <c r="A329" s="225" t="s">
        <v>812</v>
      </c>
      <c r="B329" s="225" t="s">
        <v>4923</v>
      </c>
      <c r="C329" s="1" t="s">
        <v>4924</v>
      </c>
      <c r="D329" s="7">
        <v>3047</v>
      </c>
      <c r="E329" s="226"/>
      <c r="F329" s="225" t="s">
        <v>4536</v>
      </c>
      <c r="G329" s="1"/>
      <c r="I329" s="1"/>
    </row>
    <row r="330" spans="1:9">
      <c r="A330" s="225" t="s">
        <v>813</v>
      </c>
      <c r="B330" s="225" t="s">
        <v>4925</v>
      </c>
      <c r="C330" s="1" t="s">
        <v>4926</v>
      </c>
      <c r="D330" s="7">
        <v>4267</v>
      </c>
      <c r="E330" s="226"/>
      <c r="F330" s="225" t="s">
        <v>4536</v>
      </c>
      <c r="G330" s="1"/>
      <c r="I330" s="1"/>
    </row>
    <row r="331" spans="1:9">
      <c r="A331" s="225" t="s">
        <v>814</v>
      </c>
      <c r="B331" s="225" t="s">
        <v>4927</v>
      </c>
      <c r="C331" s="1" t="s">
        <v>4928</v>
      </c>
      <c r="D331" s="7">
        <v>3186</v>
      </c>
      <c r="E331" s="226"/>
      <c r="F331" s="225" t="s">
        <v>4536</v>
      </c>
      <c r="G331" s="1"/>
      <c r="I331" s="1"/>
    </row>
    <row r="332" spans="1:9">
      <c r="A332" s="225" t="s">
        <v>815</v>
      </c>
      <c r="B332" s="225" t="s">
        <v>4929</v>
      </c>
      <c r="C332" s="1" t="s">
        <v>4930</v>
      </c>
      <c r="D332" s="7">
        <v>3247</v>
      </c>
      <c r="E332" s="226"/>
      <c r="F332" s="225" t="s">
        <v>4536</v>
      </c>
      <c r="G332" s="1"/>
      <c r="I332" s="1"/>
    </row>
    <row r="333" spans="1:9">
      <c r="A333" s="225" t="s">
        <v>816</v>
      </c>
      <c r="B333" s="225" t="s">
        <v>4931</v>
      </c>
      <c r="C333" s="1" t="s">
        <v>4932</v>
      </c>
      <c r="D333" s="7">
        <v>3425</v>
      </c>
      <c r="E333" s="226"/>
      <c r="F333" s="225" t="s">
        <v>4536</v>
      </c>
      <c r="G333" s="1"/>
      <c r="I333" s="1"/>
    </row>
    <row r="334" spans="1:9">
      <c r="A334" s="225" t="s">
        <v>826</v>
      </c>
      <c r="B334" s="225" t="s">
        <v>4933</v>
      </c>
      <c r="C334" s="1" t="s">
        <v>4934</v>
      </c>
      <c r="D334" s="7">
        <v>5644</v>
      </c>
      <c r="E334" s="226"/>
      <c r="F334" s="225" t="s">
        <v>4536</v>
      </c>
      <c r="G334" s="1"/>
      <c r="I334" s="1"/>
    </row>
    <row r="335" spans="1:9">
      <c r="A335" s="225" t="s">
        <v>827</v>
      </c>
      <c r="B335" s="225" t="s">
        <v>4935</v>
      </c>
      <c r="C335" s="1" t="s">
        <v>4936</v>
      </c>
      <c r="D335" s="7">
        <v>4584</v>
      </c>
      <c r="E335" s="226"/>
      <c r="F335" s="225" t="s">
        <v>4536</v>
      </c>
      <c r="G335" s="1"/>
      <c r="I335" s="1"/>
    </row>
    <row r="336" spans="1:9">
      <c r="A336" s="225" t="s">
        <v>828</v>
      </c>
      <c r="B336" s="225" t="s">
        <v>4937</v>
      </c>
      <c r="C336" s="1" t="s">
        <v>4938</v>
      </c>
      <c r="D336" s="7">
        <v>4817</v>
      </c>
      <c r="E336" s="226"/>
      <c r="F336" s="225" t="s">
        <v>4536</v>
      </c>
      <c r="G336" s="1"/>
      <c r="I336" s="1"/>
    </row>
    <row r="337" spans="1:9">
      <c r="A337" s="225" t="s">
        <v>829</v>
      </c>
      <c r="B337" s="225" t="s">
        <v>4939</v>
      </c>
      <c r="C337" s="1" t="s">
        <v>4940</v>
      </c>
      <c r="D337" s="7">
        <v>4475</v>
      </c>
      <c r="E337" s="226"/>
      <c r="F337" s="225" t="s">
        <v>4536</v>
      </c>
      <c r="G337" s="1"/>
      <c r="I337" s="1"/>
    </row>
    <row r="338" spans="1:9">
      <c r="A338" s="225" t="s">
        <v>830</v>
      </c>
      <c r="B338" s="225" t="s">
        <v>4941</v>
      </c>
      <c r="C338" s="1" t="s">
        <v>4942</v>
      </c>
      <c r="D338" s="7">
        <v>4928</v>
      </c>
      <c r="E338" s="226"/>
      <c r="F338" s="225" t="s">
        <v>4536</v>
      </c>
      <c r="G338" s="1"/>
      <c r="I338" s="1"/>
    </row>
    <row r="339" spans="1:9">
      <c r="A339" s="226"/>
      <c r="B339" s="226"/>
      <c r="C339" s="226"/>
      <c r="D339" s="231"/>
      <c r="E339" s="226"/>
      <c r="F339" s="226"/>
    </row>
    <row r="340" spans="1:9">
      <c r="A340" s="225" t="s">
        <v>4774</v>
      </c>
      <c r="D340" s="229">
        <f t="shared" ref="D340" si="35">SUM(D329:D338)</f>
        <v>41620</v>
      </c>
      <c r="E340" s="226"/>
      <c r="F340" s="226"/>
    </row>
    <row r="341" spans="1:9">
      <c r="A341" s="225"/>
      <c r="B341" s="225"/>
      <c r="C341" s="225"/>
      <c r="D341" s="238"/>
      <c r="E341" s="226"/>
      <c r="F341" s="226"/>
    </row>
    <row r="342" spans="1:9">
      <c r="A342" s="225" t="s">
        <v>4943</v>
      </c>
      <c r="B342" s="225"/>
      <c r="C342" s="225"/>
      <c r="D342" s="238"/>
      <c r="E342" s="226"/>
      <c r="F342" s="226"/>
    </row>
    <row r="367" spans="1:6">
      <c r="A367" s="226"/>
      <c r="B367" s="226"/>
      <c r="C367" s="226"/>
      <c r="D367" s="226"/>
      <c r="E367" s="226"/>
      <c r="F367" s="226"/>
    </row>
    <row r="368" spans="1:6">
      <c r="A368" s="226"/>
      <c r="B368" s="226"/>
      <c r="C368" s="226"/>
      <c r="D368" s="226"/>
      <c r="E368" s="226"/>
      <c r="F368" s="226"/>
    </row>
    <row r="369" spans="1:6">
      <c r="A369" s="226"/>
      <c r="B369" s="226"/>
      <c r="C369" s="226"/>
      <c r="D369" s="226"/>
      <c r="E369" s="226"/>
      <c r="F369" s="226"/>
    </row>
    <row r="370" spans="1:6">
      <c r="A370" s="226"/>
      <c r="B370" s="226"/>
      <c r="C370" s="226"/>
      <c r="D370" s="226"/>
      <c r="E370" s="226"/>
      <c r="F370" s="226"/>
    </row>
    <row r="371" spans="1:6">
      <c r="A371" s="226"/>
      <c r="B371" s="226"/>
      <c r="C371" s="226"/>
      <c r="D371" s="226"/>
      <c r="E371" s="226"/>
      <c r="F371" s="226"/>
    </row>
    <row r="372" spans="1:6">
      <c r="A372" s="226"/>
      <c r="B372" s="226"/>
      <c r="C372" s="226"/>
      <c r="D372" s="226"/>
      <c r="E372" s="226"/>
      <c r="F372" s="226"/>
    </row>
    <row r="373" spans="1:6">
      <c r="A373" s="226"/>
      <c r="B373" s="226"/>
      <c r="C373" s="226"/>
      <c r="D373" s="226"/>
      <c r="E373" s="226"/>
      <c r="F373" s="226"/>
    </row>
    <row r="374" spans="1:6">
      <c r="A374" s="226"/>
      <c r="B374" s="226"/>
      <c r="C374" s="226"/>
      <c r="D374" s="226"/>
      <c r="E374" s="226"/>
      <c r="F374" s="226"/>
    </row>
    <row r="375" spans="1:6">
      <c r="A375" s="226"/>
      <c r="B375" s="226"/>
      <c r="C375" s="226"/>
      <c r="D375" s="226"/>
      <c r="E375" s="226"/>
      <c r="F375" s="226"/>
    </row>
    <row r="376" spans="1:6">
      <c r="A376" s="226"/>
      <c r="B376" s="226"/>
      <c r="C376" s="226"/>
      <c r="D376" s="226"/>
      <c r="E376" s="226"/>
      <c r="F376" s="226"/>
    </row>
    <row r="377" spans="1:6">
      <c r="A377" s="226"/>
      <c r="B377" s="226"/>
      <c r="C377" s="226"/>
      <c r="D377" s="226"/>
      <c r="E377" s="226"/>
      <c r="F377" s="226"/>
    </row>
    <row r="378" spans="1:6">
      <c r="A378" s="226"/>
      <c r="B378" s="226"/>
      <c r="C378" s="226"/>
      <c r="D378" s="226"/>
      <c r="E378" s="226"/>
      <c r="F378" s="226"/>
    </row>
    <row r="379" spans="1:6">
      <c r="A379" s="226"/>
      <c r="B379" s="226"/>
      <c r="C379" s="226"/>
      <c r="D379" s="226"/>
      <c r="E379" s="226"/>
      <c r="F379" s="226"/>
    </row>
    <row r="380" spans="1:6">
      <c r="A380" s="226"/>
      <c r="B380" s="226"/>
      <c r="C380" s="226"/>
      <c r="D380" s="226"/>
      <c r="E380" s="226"/>
      <c r="F380" s="226"/>
    </row>
    <row r="381" spans="1:6">
      <c r="A381" s="226"/>
      <c r="B381" s="226"/>
      <c r="C381" s="226"/>
      <c r="D381" s="226"/>
      <c r="E381" s="226"/>
      <c r="F381" s="226"/>
    </row>
    <row r="382" spans="1:6">
      <c r="A382" s="226"/>
      <c r="B382" s="226"/>
      <c r="C382" s="226"/>
      <c r="D382" s="226"/>
      <c r="E382" s="226"/>
      <c r="F382" s="226"/>
    </row>
  </sheetData>
  <printOptions gridLinesSet="0"/>
  <pageMargins left="0.78740157480314965" right="0" top="0.51181102362204722" bottom="0.51181102362204722" header="0.51181102362204722" footer="0.51181102362204722"/>
  <pageSetup paperSize="9" scale="65" orientation="portrait" horizontalDpi="300" verticalDpi="300" r:id="rId1"/>
  <headerFooter alignWithMargins="0">
    <oddFooter>&amp;C&amp;"Times New Roman,Regular"&amp;8&amp;P of &amp;N</oddFooter>
  </headerFooter>
  <rowBreaks count="8" manualBreakCount="8">
    <brk id="61" max="16383" man="1"/>
    <brk id="119" max="16383" man="1"/>
    <brk id="148" max="16383" man="1"/>
    <brk id="188" max="16383" man="1"/>
    <brk id="225" max="16383" man="1"/>
    <brk id="251" max="16383" man="1"/>
    <brk id="276" max="10" man="1"/>
    <brk id="324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3"/>
  <sheetViews>
    <sheetView showGridLines="0" zoomScaleNormal="100" workbookViewId="0"/>
  </sheetViews>
  <sheetFormatPr defaultColWidth="12.59765625" defaultRowHeight="14.5"/>
  <cols>
    <col min="1" max="1" width="4.8984375" style="414" customWidth="1"/>
    <col min="2" max="2" width="35.69921875" style="414" customWidth="1"/>
    <col min="3" max="3" width="11.69921875" style="414" customWidth="1"/>
    <col min="4" max="4" width="10" style="414" customWidth="1"/>
    <col min="5" max="5" width="2.296875" style="414" customWidth="1"/>
    <col min="6" max="6" width="30.69921875" style="414" customWidth="1"/>
    <col min="7" max="16384" width="12.59765625" style="414"/>
  </cols>
  <sheetData>
    <row r="1" spans="1:6">
      <c r="A1" s="413" t="s">
        <v>9176</v>
      </c>
      <c r="D1" s="62">
        <v>2016</v>
      </c>
    </row>
    <row r="3" spans="1:6">
      <c r="A3" s="413" t="s">
        <v>9215</v>
      </c>
      <c r="D3" s="415">
        <f t="shared" ref="D3" si="0">SUM(D21:D41)</f>
        <v>208613</v>
      </c>
    </row>
    <row r="5" spans="1:6">
      <c r="A5" s="413" t="s">
        <v>9216</v>
      </c>
      <c r="D5" s="415">
        <f>D26+SUM(D34:D38)</f>
        <v>63048</v>
      </c>
      <c r="F5" s="413" t="s">
        <v>9217</v>
      </c>
    </row>
    <row r="6" spans="1:6" ht="15" thickBot="1">
      <c r="A6" s="413"/>
      <c r="D6" s="416">
        <f>ENFIELD!D6</f>
        <v>9532</v>
      </c>
      <c r="F6" s="413" t="s">
        <v>9218</v>
      </c>
    </row>
    <row r="7" spans="1:6" ht="15" thickBot="1">
      <c r="A7" s="413"/>
      <c r="D7" s="417">
        <f>D5+D6</f>
        <v>72580</v>
      </c>
      <c r="F7" s="413"/>
    </row>
    <row r="8" spans="1:6">
      <c r="A8" s="413"/>
      <c r="D8" s="415"/>
      <c r="F8" s="413"/>
    </row>
    <row r="9" spans="1:6">
      <c r="A9" s="413" t="s">
        <v>9219</v>
      </c>
      <c r="D9" s="415">
        <f>D21+D25+D27+D39+D41</f>
        <v>49745</v>
      </c>
      <c r="F9" s="413" t="s">
        <v>9217</v>
      </c>
    </row>
    <row r="10" spans="1:6" ht="15" thickBot="1">
      <c r="A10" s="413"/>
      <c r="D10" s="416">
        <f>ENFIELD!D14</f>
        <v>27112</v>
      </c>
      <c r="F10" s="413" t="s">
        <v>9218</v>
      </c>
    </row>
    <row r="11" spans="1:6" ht="15" thickBot="1">
      <c r="A11" s="413"/>
      <c r="D11" s="417">
        <f>D9+D10</f>
        <v>76857</v>
      </c>
      <c r="F11" s="413"/>
    </row>
    <row r="12" spans="1:6">
      <c r="A12" s="413"/>
      <c r="D12" s="415"/>
      <c r="F12" s="413"/>
    </row>
    <row r="13" spans="1:6">
      <c r="A13" s="418" t="s">
        <v>9220</v>
      </c>
      <c r="D13" s="415">
        <f>D23+D30</f>
        <v>19064</v>
      </c>
      <c r="F13" s="413" t="s">
        <v>9217</v>
      </c>
    </row>
    <row r="14" spans="1:6" ht="15" thickBot="1">
      <c r="A14" s="413"/>
      <c r="D14" s="416">
        <f>CAMDEN!D11</f>
        <v>56710</v>
      </c>
      <c r="F14" s="413" t="s">
        <v>9221</v>
      </c>
    </row>
    <row r="15" spans="1:6" ht="15" thickBot="1">
      <c r="A15" s="413"/>
      <c r="D15" s="417">
        <f>D13+D14</f>
        <v>75774</v>
      </c>
      <c r="F15" s="413"/>
    </row>
    <row r="16" spans="1:6">
      <c r="D16" s="419"/>
    </row>
    <row r="17" spans="1:11">
      <c r="A17" s="413" t="s">
        <v>9222</v>
      </c>
      <c r="D17" s="415">
        <f>D22+D24+D28+D29+SUM(D31:D33)+D40</f>
        <v>76756</v>
      </c>
      <c r="F17" s="413" t="s">
        <v>9217</v>
      </c>
    </row>
    <row r="18" spans="1:11">
      <c r="D18" s="419"/>
    </row>
    <row r="19" spans="1:11">
      <c r="A19" s="413" t="s">
        <v>1041</v>
      </c>
      <c r="D19" s="415">
        <f>D5+D9+D13+D17</f>
        <v>208613</v>
      </c>
    </row>
    <row r="20" spans="1:11">
      <c r="D20" s="419"/>
    </row>
    <row r="21" spans="1:11">
      <c r="A21" s="413" t="s">
        <v>812</v>
      </c>
      <c r="B21" s="413" t="s">
        <v>9223</v>
      </c>
      <c r="C21" s="292" t="s">
        <v>9224</v>
      </c>
      <c r="D21" s="293">
        <v>10823</v>
      </c>
      <c r="F21" s="413" t="s">
        <v>9219</v>
      </c>
      <c r="I21" s="292"/>
      <c r="K21" s="292"/>
    </row>
    <row r="22" spans="1:11">
      <c r="A22" s="413" t="s">
        <v>813</v>
      </c>
      <c r="B22" s="413" t="s">
        <v>9225</v>
      </c>
      <c r="C22" s="292" t="s">
        <v>9226</v>
      </c>
      <c r="D22" s="293">
        <v>9756</v>
      </c>
      <c r="F22" s="413" t="s">
        <v>9222</v>
      </c>
      <c r="I22" s="292"/>
      <c r="K22" s="292"/>
    </row>
    <row r="23" spans="1:11">
      <c r="A23" s="413" t="s">
        <v>814</v>
      </c>
      <c r="B23" s="413" t="s">
        <v>9227</v>
      </c>
      <c r="C23" s="292" t="s">
        <v>9228</v>
      </c>
      <c r="D23" s="293">
        <v>9607</v>
      </c>
      <c r="F23" s="418" t="s">
        <v>9220</v>
      </c>
      <c r="I23" s="292"/>
      <c r="K23" s="292"/>
    </row>
    <row r="24" spans="1:11">
      <c r="A24" s="413" t="s">
        <v>815</v>
      </c>
      <c r="B24" s="413" t="s">
        <v>9229</v>
      </c>
      <c r="C24" s="292" t="s">
        <v>9230</v>
      </c>
      <c r="D24" s="295">
        <v>9764</v>
      </c>
      <c r="F24" s="413" t="s">
        <v>9222</v>
      </c>
      <c r="I24" s="292"/>
      <c r="K24" s="292"/>
    </row>
    <row r="25" spans="1:11">
      <c r="A25" s="413" t="s">
        <v>816</v>
      </c>
      <c r="B25" s="413" t="s">
        <v>9231</v>
      </c>
      <c r="C25" s="292" t="s">
        <v>9232</v>
      </c>
      <c r="D25" s="293">
        <v>9989</v>
      </c>
      <c r="F25" s="413" t="s">
        <v>9219</v>
      </c>
      <c r="I25" s="292"/>
      <c r="K25" s="292"/>
    </row>
    <row r="26" spans="1:11">
      <c r="A26" s="413" t="s">
        <v>826</v>
      </c>
      <c r="B26" s="413" t="s">
        <v>9233</v>
      </c>
      <c r="C26" s="292" t="s">
        <v>9234</v>
      </c>
      <c r="D26" s="293">
        <v>10684</v>
      </c>
      <c r="F26" s="413" t="s">
        <v>9216</v>
      </c>
      <c r="I26" s="292"/>
      <c r="K26" s="292"/>
    </row>
    <row r="27" spans="1:11">
      <c r="A27" s="413" t="s">
        <v>827</v>
      </c>
      <c r="B27" s="413" t="s">
        <v>9235</v>
      </c>
      <c r="C27" s="292" t="s">
        <v>9236</v>
      </c>
      <c r="D27" s="293">
        <v>9748</v>
      </c>
      <c r="F27" s="413" t="s">
        <v>9219</v>
      </c>
      <c r="I27" s="292"/>
      <c r="K27" s="292"/>
    </row>
    <row r="28" spans="1:11">
      <c r="A28" s="413" t="s">
        <v>828</v>
      </c>
      <c r="B28" s="413" t="s">
        <v>9237</v>
      </c>
      <c r="C28" s="292" t="s">
        <v>9238</v>
      </c>
      <c r="D28" s="295">
        <v>9901</v>
      </c>
      <c r="F28" s="413" t="s">
        <v>9222</v>
      </c>
      <c r="I28" s="292"/>
      <c r="K28" s="292"/>
    </row>
    <row r="29" spans="1:11">
      <c r="A29" s="413" t="s">
        <v>829</v>
      </c>
      <c r="B29" s="413" t="s">
        <v>9239</v>
      </c>
      <c r="C29" s="292" t="s">
        <v>9240</v>
      </c>
      <c r="D29" s="293">
        <v>9733</v>
      </c>
      <c r="F29" s="413" t="s">
        <v>9222</v>
      </c>
      <c r="I29" s="292"/>
      <c r="K29" s="292"/>
    </row>
    <row r="30" spans="1:11">
      <c r="A30" s="413" t="s">
        <v>830</v>
      </c>
      <c r="B30" s="413" t="s">
        <v>9241</v>
      </c>
      <c r="C30" s="292" t="s">
        <v>9242</v>
      </c>
      <c r="D30" s="293">
        <v>9457</v>
      </c>
      <c r="F30" s="418" t="s">
        <v>9220</v>
      </c>
      <c r="I30" s="292"/>
      <c r="K30" s="292"/>
    </row>
    <row r="31" spans="1:11">
      <c r="A31" s="413" t="s">
        <v>831</v>
      </c>
      <c r="B31" s="413" t="s">
        <v>9243</v>
      </c>
      <c r="C31" s="292" t="s">
        <v>9244</v>
      </c>
      <c r="D31" s="293">
        <v>8901</v>
      </c>
      <c r="F31" s="413" t="s">
        <v>9222</v>
      </c>
      <c r="I31" s="292"/>
      <c r="K31" s="292"/>
    </row>
    <row r="32" spans="1:11">
      <c r="A32" s="413" t="s">
        <v>832</v>
      </c>
      <c r="B32" s="413" t="s">
        <v>9245</v>
      </c>
      <c r="C32" s="292" t="s">
        <v>9246</v>
      </c>
      <c r="D32" s="295">
        <v>10495</v>
      </c>
      <c r="F32" s="413" t="s">
        <v>9222</v>
      </c>
      <c r="I32" s="292"/>
      <c r="K32" s="292"/>
    </row>
    <row r="33" spans="1:11">
      <c r="A33" s="413" t="s">
        <v>833</v>
      </c>
      <c r="B33" s="413" t="s">
        <v>6726</v>
      </c>
      <c r="C33" s="292" t="s">
        <v>9247</v>
      </c>
      <c r="D33" s="295">
        <v>9159</v>
      </c>
      <c r="F33" s="413" t="s">
        <v>9222</v>
      </c>
      <c r="I33" s="292"/>
      <c r="K33" s="292"/>
    </row>
    <row r="34" spans="1:11">
      <c r="A34" s="413" t="s">
        <v>834</v>
      </c>
      <c r="B34" s="413" t="s">
        <v>9248</v>
      </c>
      <c r="C34" s="292" t="s">
        <v>9249</v>
      </c>
      <c r="D34" s="293">
        <v>10508</v>
      </c>
      <c r="F34" s="413" t="s">
        <v>9216</v>
      </c>
      <c r="I34" s="292"/>
      <c r="K34" s="292"/>
    </row>
    <row r="35" spans="1:11">
      <c r="A35" s="413" t="s">
        <v>835</v>
      </c>
      <c r="B35" s="413" t="s">
        <v>9250</v>
      </c>
      <c r="C35" s="292" t="s">
        <v>9251</v>
      </c>
      <c r="D35" s="295">
        <v>11380</v>
      </c>
      <c r="F35" s="413" t="s">
        <v>9216</v>
      </c>
      <c r="I35" s="292"/>
      <c r="K35" s="292"/>
    </row>
    <row r="36" spans="1:11">
      <c r="A36" s="413" t="s">
        <v>836</v>
      </c>
      <c r="B36" s="413" t="s">
        <v>9252</v>
      </c>
      <c r="C36" s="292" t="s">
        <v>9253</v>
      </c>
      <c r="D36" s="293">
        <v>10637</v>
      </c>
      <c r="F36" s="413" t="s">
        <v>9216</v>
      </c>
      <c r="I36" s="292"/>
      <c r="K36" s="292"/>
    </row>
    <row r="37" spans="1:11">
      <c r="A37" s="413" t="s">
        <v>837</v>
      </c>
      <c r="B37" s="413" t="s">
        <v>9254</v>
      </c>
      <c r="C37" s="292" t="s">
        <v>9255</v>
      </c>
      <c r="D37" s="293">
        <v>9302</v>
      </c>
      <c r="F37" s="413" t="s">
        <v>9216</v>
      </c>
      <c r="I37" s="292"/>
      <c r="K37" s="292"/>
    </row>
    <row r="38" spans="1:11">
      <c r="A38" s="413" t="s">
        <v>838</v>
      </c>
      <c r="B38" s="413" t="s">
        <v>839</v>
      </c>
      <c r="C38" s="292" t="s">
        <v>9256</v>
      </c>
      <c r="D38" s="293">
        <v>10537</v>
      </c>
      <c r="F38" s="413" t="s">
        <v>9216</v>
      </c>
      <c r="I38" s="292"/>
      <c r="K38" s="292"/>
    </row>
    <row r="39" spans="1:11">
      <c r="A39" s="413" t="s">
        <v>840</v>
      </c>
      <c r="B39" s="413" t="s">
        <v>9257</v>
      </c>
      <c r="C39" s="292" t="s">
        <v>9258</v>
      </c>
      <c r="D39" s="293">
        <v>8794</v>
      </c>
      <c r="F39" s="413" t="s">
        <v>9219</v>
      </c>
      <c r="I39" s="292"/>
      <c r="K39" s="292"/>
    </row>
    <row r="40" spans="1:11">
      <c r="A40" s="413" t="s">
        <v>841</v>
      </c>
      <c r="B40" s="413" t="s">
        <v>9259</v>
      </c>
      <c r="C40" s="292" t="s">
        <v>9260</v>
      </c>
      <c r="D40" s="295">
        <v>9047</v>
      </c>
      <c r="F40" s="413" t="s">
        <v>9222</v>
      </c>
      <c r="I40" s="292"/>
      <c r="K40" s="292"/>
    </row>
    <row r="41" spans="1:11">
      <c r="A41" s="420">
        <v>21</v>
      </c>
      <c r="B41" s="413" t="s">
        <v>5904</v>
      </c>
      <c r="C41" s="292" t="s">
        <v>9261</v>
      </c>
      <c r="D41" s="293">
        <v>10391</v>
      </c>
      <c r="F41" s="413" t="s">
        <v>9219</v>
      </c>
      <c r="I41" s="292"/>
      <c r="K41" s="292"/>
    </row>
    <row r="43" spans="1:11">
      <c r="A43" s="414" t="s">
        <v>9262</v>
      </c>
    </row>
  </sheetData>
  <printOptions gridLinesSet="0"/>
  <pageMargins left="0.78740157480314965" right="0" top="0.51181102362204722" bottom="0.51181102362204722" header="0.51181102362204722" footer="0.51181102362204722"/>
  <pageSetup paperSize="9" scale="73" orientation="portrait" horizontalDpi="300" verticalDpi="300" r:id="rId1"/>
  <headerFooter alignWithMargins="0">
    <oddFooter>&amp;C&amp;"Times New Roman,Regular"&amp;8&amp;P of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37"/>
  <sheetViews>
    <sheetView showGridLines="0" zoomScaleNormal="100" workbookViewId="0"/>
  </sheetViews>
  <sheetFormatPr defaultColWidth="12.59765625" defaultRowHeight="14.5"/>
  <cols>
    <col min="1" max="1" width="4.8984375" style="579" customWidth="1"/>
    <col min="2" max="2" width="40.69921875" style="579" customWidth="1"/>
    <col min="3" max="3" width="11.59765625" style="579" customWidth="1"/>
    <col min="4" max="4" width="10" style="579" customWidth="1"/>
    <col min="5" max="5" width="2.296875" style="579" customWidth="1"/>
    <col min="6" max="6" width="30.8984375" style="579" customWidth="1"/>
    <col min="7" max="16384" width="12.59765625" style="579"/>
  </cols>
  <sheetData>
    <row r="1" spans="1:6">
      <c r="A1" s="576" t="s">
        <v>9176</v>
      </c>
      <c r="B1" s="577"/>
      <c r="C1" s="577"/>
      <c r="D1" s="578">
        <v>2016</v>
      </c>
      <c r="E1" s="577"/>
    </row>
    <row r="2" spans="1:6">
      <c r="A2" s="577"/>
      <c r="B2" s="577"/>
      <c r="C2" s="577"/>
      <c r="D2" s="577"/>
      <c r="E2" s="577"/>
      <c r="F2" s="577"/>
    </row>
    <row r="3" spans="1:6">
      <c r="A3" s="576" t="s">
        <v>10125</v>
      </c>
      <c r="B3" s="577"/>
      <c r="C3" s="577"/>
      <c r="D3" s="580">
        <f t="shared" ref="D3" si="0">SUM(D17:D34)</f>
        <v>167222</v>
      </c>
      <c r="E3" s="577"/>
    </row>
    <row r="4" spans="1:6">
      <c r="A4" s="577"/>
      <c r="B4" s="577"/>
      <c r="C4" s="577"/>
      <c r="D4" s="577"/>
      <c r="E4" s="577"/>
      <c r="F4" s="577"/>
    </row>
    <row r="5" spans="1:6">
      <c r="A5" s="492" t="s">
        <v>9650</v>
      </c>
      <c r="D5" s="581">
        <f>GREENWICH!D7</f>
        <v>30638</v>
      </c>
      <c r="F5" s="579" t="s">
        <v>9268</v>
      </c>
    </row>
    <row r="6" spans="1:6" ht="15" thickBot="1">
      <c r="A6" s="492"/>
      <c r="D6" s="582">
        <f>D18+D19+D23+D27+D29</f>
        <v>46367</v>
      </c>
      <c r="E6" s="577"/>
      <c r="F6" s="576" t="s">
        <v>9651</v>
      </c>
    </row>
    <row r="7" spans="1:6" ht="15" thickBot="1">
      <c r="A7" s="492"/>
      <c r="D7" s="583">
        <f>D5+D6</f>
        <v>77005</v>
      </c>
      <c r="E7" s="577"/>
      <c r="F7" s="576"/>
    </row>
    <row r="8" spans="1:6">
      <c r="A8" s="577"/>
      <c r="D8" s="584"/>
      <c r="E8" s="577"/>
      <c r="F8" s="577"/>
    </row>
    <row r="9" spans="1:6">
      <c r="A9" s="576" t="s">
        <v>10126</v>
      </c>
      <c r="D9" s="580">
        <f>D17+D20+D22+D25+D26+D28+D31+D34</f>
        <v>72781</v>
      </c>
      <c r="E9" s="577"/>
      <c r="F9" s="576" t="s">
        <v>9651</v>
      </c>
    </row>
    <row r="10" spans="1:6">
      <c r="A10" s="577"/>
      <c r="D10" s="584"/>
      <c r="E10" s="577"/>
    </row>
    <row r="11" spans="1:6">
      <c r="A11" s="576" t="s">
        <v>10127</v>
      </c>
      <c r="D11" s="580">
        <f>D21+D24+D30+D32+D33</f>
        <v>48074</v>
      </c>
      <c r="E11" s="577"/>
      <c r="F11" s="576" t="s">
        <v>9651</v>
      </c>
    </row>
    <row r="12" spans="1:6" ht="15" thickBot="1">
      <c r="A12" s="576"/>
      <c r="D12" s="581">
        <f>SOUTHWARK!D18</f>
        <v>29282</v>
      </c>
      <c r="F12" s="579" t="s">
        <v>10079</v>
      </c>
    </row>
    <row r="13" spans="1:6" ht="15" thickBot="1">
      <c r="A13" s="576"/>
      <c r="D13" s="583">
        <f>D11+D12</f>
        <v>77356</v>
      </c>
      <c r="E13" s="577"/>
      <c r="F13" s="439"/>
    </row>
    <row r="14" spans="1:6">
      <c r="A14" s="576"/>
      <c r="D14" s="580"/>
      <c r="E14" s="577"/>
      <c r="F14" s="439"/>
    </row>
    <row r="15" spans="1:6">
      <c r="A15" s="576" t="s">
        <v>1041</v>
      </c>
      <c r="B15" s="577"/>
      <c r="C15" s="577"/>
      <c r="D15" s="580">
        <f>D6+D9+D11</f>
        <v>167222</v>
      </c>
      <c r="E15" s="577"/>
      <c r="F15" s="577"/>
    </row>
    <row r="16" spans="1:6">
      <c r="A16" s="577"/>
      <c r="B16" s="577"/>
      <c r="C16" s="577"/>
      <c r="D16" s="584"/>
      <c r="E16" s="577"/>
      <c r="F16" s="577"/>
    </row>
    <row r="17" spans="1:11">
      <c r="A17" s="576" t="s">
        <v>812</v>
      </c>
      <c r="B17" s="576" t="s">
        <v>6405</v>
      </c>
      <c r="C17" s="292" t="s">
        <v>10128</v>
      </c>
      <c r="D17" s="293">
        <v>9019</v>
      </c>
      <c r="E17" s="577"/>
      <c r="F17" s="576" t="s">
        <v>10126</v>
      </c>
      <c r="I17" s="292"/>
      <c r="K17" s="292"/>
    </row>
    <row r="18" spans="1:11">
      <c r="A18" s="576" t="s">
        <v>813</v>
      </c>
      <c r="B18" s="576" t="s">
        <v>3602</v>
      </c>
      <c r="C18" s="292" t="s">
        <v>10129</v>
      </c>
      <c r="D18" s="293">
        <v>8642</v>
      </c>
      <c r="E18" s="577"/>
      <c r="F18" s="492" t="s">
        <v>9650</v>
      </c>
      <c r="I18" s="292"/>
      <c r="K18" s="292"/>
    </row>
    <row r="19" spans="1:11">
      <c r="A19" s="576" t="s">
        <v>814</v>
      </c>
      <c r="B19" s="576" t="s">
        <v>10130</v>
      </c>
      <c r="C19" s="292" t="s">
        <v>10131</v>
      </c>
      <c r="D19" s="293">
        <v>10337</v>
      </c>
      <c r="E19" s="577"/>
      <c r="F19" s="492" t="s">
        <v>9650</v>
      </c>
      <c r="I19" s="292"/>
      <c r="K19" s="292"/>
    </row>
    <row r="20" spans="1:11">
      <c r="A20" s="576" t="s">
        <v>815</v>
      </c>
      <c r="B20" s="576" t="s">
        <v>10132</v>
      </c>
      <c r="C20" s="292" t="s">
        <v>10133</v>
      </c>
      <c r="D20" s="293">
        <v>9413</v>
      </c>
      <c r="E20" s="577"/>
      <c r="F20" s="576" t="s">
        <v>10126</v>
      </c>
      <c r="I20" s="292"/>
      <c r="K20" s="292"/>
    </row>
    <row r="21" spans="1:11">
      <c r="A21" s="576" t="s">
        <v>816</v>
      </c>
      <c r="B21" s="576" t="s">
        <v>10134</v>
      </c>
      <c r="C21" s="292" t="s">
        <v>10135</v>
      </c>
      <c r="D21" s="293">
        <v>9579</v>
      </c>
      <c r="E21" s="577"/>
      <c r="F21" s="576" t="s">
        <v>10127</v>
      </c>
      <c r="I21" s="292"/>
      <c r="K21" s="292"/>
    </row>
    <row r="22" spans="1:11">
      <c r="A22" s="576" t="s">
        <v>826</v>
      </c>
      <c r="B22" s="576" t="s">
        <v>10136</v>
      </c>
      <c r="C22" s="292" t="s">
        <v>10137</v>
      </c>
      <c r="D22" s="293">
        <v>9072</v>
      </c>
      <c r="E22" s="577"/>
      <c r="F22" s="576" t="s">
        <v>10126</v>
      </c>
      <c r="I22" s="292"/>
      <c r="K22" s="292"/>
    </row>
    <row r="23" spans="1:11">
      <c r="A23" s="576" t="s">
        <v>827</v>
      </c>
      <c r="B23" s="576" t="s">
        <v>10138</v>
      </c>
      <c r="C23" s="292" t="s">
        <v>10139</v>
      </c>
      <c r="D23" s="293">
        <v>9129</v>
      </c>
      <c r="E23" s="577"/>
      <c r="F23" s="492" t="s">
        <v>9650</v>
      </c>
      <c r="I23" s="292"/>
      <c r="K23" s="292"/>
    </row>
    <row r="24" spans="1:11">
      <c r="A24" s="576" t="s">
        <v>828</v>
      </c>
      <c r="B24" s="576" t="s">
        <v>10140</v>
      </c>
      <c r="C24" s="292" t="s">
        <v>10141</v>
      </c>
      <c r="D24" s="295">
        <v>9201</v>
      </c>
      <c r="E24" s="577"/>
      <c r="F24" s="576" t="s">
        <v>10127</v>
      </c>
      <c r="I24" s="292"/>
      <c r="K24" s="292"/>
    </row>
    <row r="25" spans="1:11">
      <c r="A25" s="576" t="s">
        <v>829</v>
      </c>
      <c r="B25" s="576" t="s">
        <v>10142</v>
      </c>
      <c r="C25" s="292" t="s">
        <v>10143</v>
      </c>
      <c r="D25" s="293">
        <v>9249</v>
      </c>
      <c r="E25" s="577"/>
      <c r="F25" s="576" t="s">
        <v>10126</v>
      </c>
      <c r="I25" s="292"/>
      <c r="K25" s="292"/>
    </row>
    <row r="26" spans="1:11">
      <c r="A26" s="576" t="s">
        <v>830</v>
      </c>
      <c r="B26" s="576" t="s">
        <v>10144</v>
      </c>
      <c r="C26" s="292" t="s">
        <v>10145</v>
      </c>
      <c r="D26" s="293">
        <v>8688</v>
      </c>
      <c r="E26" s="577"/>
      <c r="F26" s="576" t="s">
        <v>10126</v>
      </c>
      <c r="I26" s="292"/>
      <c r="K26" s="292"/>
    </row>
    <row r="27" spans="1:11">
      <c r="A27" s="576" t="s">
        <v>831</v>
      </c>
      <c r="B27" s="576" t="s">
        <v>10146</v>
      </c>
      <c r="C27" s="292" t="s">
        <v>10147</v>
      </c>
      <c r="D27" s="293">
        <v>9182</v>
      </c>
      <c r="E27" s="577"/>
      <c r="F27" s="492" t="s">
        <v>9650</v>
      </c>
      <c r="I27" s="292"/>
      <c r="K27" s="292"/>
    </row>
    <row r="28" spans="1:11">
      <c r="A28" s="576" t="s">
        <v>832</v>
      </c>
      <c r="B28" s="576" t="s">
        <v>10148</v>
      </c>
      <c r="C28" s="292" t="s">
        <v>10149</v>
      </c>
      <c r="D28" s="293">
        <v>10532</v>
      </c>
      <c r="E28" s="577"/>
      <c r="F28" s="576" t="s">
        <v>10126</v>
      </c>
      <c r="I28" s="292"/>
      <c r="K28" s="292"/>
    </row>
    <row r="29" spans="1:11">
      <c r="A29" s="576" t="s">
        <v>833</v>
      </c>
      <c r="B29" s="576" t="s">
        <v>10150</v>
      </c>
      <c r="C29" s="292" t="s">
        <v>10151</v>
      </c>
      <c r="D29" s="293">
        <v>9077</v>
      </c>
      <c r="E29" s="577"/>
      <c r="F29" s="492" t="s">
        <v>9650</v>
      </c>
      <c r="I29" s="292"/>
      <c r="K29" s="292"/>
    </row>
    <row r="30" spans="1:11">
      <c r="A30" s="576" t="s">
        <v>834</v>
      </c>
      <c r="B30" s="576" t="s">
        <v>10152</v>
      </c>
      <c r="C30" s="292" t="s">
        <v>10153</v>
      </c>
      <c r="D30" s="295">
        <v>9807</v>
      </c>
      <c r="E30" s="577"/>
      <c r="F30" s="576" t="s">
        <v>10127</v>
      </c>
      <c r="I30" s="292"/>
      <c r="K30" s="292"/>
    </row>
    <row r="31" spans="1:11">
      <c r="A31" s="576" t="s">
        <v>835</v>
      </c>
      <c r="B31" s="576" t="s">
        <v>10154</v>
      </c>
      <c r="C31" s="292" t="s">
        <v>10155</v>
      </c>
      <c r="D31" s="293">
        <v>8053</v>
      </c>
      <c r="E31" s="577"/>
      <c r="F31" s="576" t="s">
        <v>10126</v>
      </c>
      <c r="I31" s="292"/>
      <c r="K31" s="292"/>
    </row>
    <row r="32" spans="1:11">
      <c r="A32" s="576" t="s">
        <v>836</v>
      </c>
      <c r="B32" s="576" t="s">
        <v>3380</v>
      </c>
      <c r="C32" s="292" t="s">
        <v>10156</v>
      </c>
      <c r="D32" s="295">
        <v>9663</v>
      </c>
      <c r="E32" s="577"/>
      <c r="F32" s="576" t="s">
        <v>10127</v>
      </c>
      <c r="I32" s="292"/>
      <c r="K32" s="292"/>
    </row>
    <row r="33" spans="1:11">
      <c r="A33" s="576" t="s">
        <v>837</v>
      </c>
      <c r="B33" s="576" t="s">
        <v>10157</v>
      </c>
      <c r="C33" s="292" t="s">
        <v>10158</v>
      </c>
      <c r="D33" s="293">
        <v>9824</v>
      </c>
      <c r="E33" s="577"/>
      <c r="F33" s="576" t="s">
        <v>10127</v>
      </c>
      <c r="I33" s="292"/>
      <c r="K33" s="292"/>
    </row>
    <row r="34" spans="1:11">
      <c r="A34" s="576" t="s">
        <v>838</v>
      </c>
      <c r="B34" s="576" t="s">
        <v>10159</v>
      </c>
      <c r="C34" s="292" t="s">
        <v>10160</v>
      </c>
      <c r="D34" s="293">
        <v>8755</v>
      </c>
      <c r="E34" s="577"/>
      <c r="F34" s="576" t="s">
        <v>10126</v>
      </c>
      <c r="I34" s="292"/>
      <c r="K34" s="292"/>
    </row>
    <row r="35" spans="1:11">
      <c r="A35" s="577"/>
      <c r="B35" s="577"/>
      <c r="C35" s="577"/>
      <c r="D35" s="577"/>
      <c r="E35" s="577"/>
      <c r="F35" s="577"/>
    </row>
    <row r="36" spans="1:11">
      <c r="A36" s="577" t="s">
        <v>10161</v>
      </c>
      <c r="B36" s="577"/>
      <c r="C36" s="577"/>
      <c r="D36" s="577"/>
      <c r="E36" s="577"/>
      <c r="F36" s="577"/>
    </row>
    <row r="37" spans="1:11">
      <c r="A37" s="579" t="s">
        <v>10162</v>
      </c>
    </row>
  </sheetData>
  <printOptions gridLinesSet="0"/>
  <pageMargins left="0.78740157480314965" right="0" top="0.51181102362204722" bottom="0.51181102362204722" header="0.51181102362204722" footer="0.51181102362204722"/>
  <pageSetup paperSize="9" scale="90" orientation="portrait" horizontalDpi="300" verticalDpi="300" r:id="rId1"/>
  <headerFooter alignWithMargins="0">
    <oddFooter>&amp;C&amp;"Times New Roman,Regular"&amp;8&amp;P of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80"/>
  <sheetViews>
    <sheetView showGridLines="0" zoomScaleNormal="100" workbookViewId="0"/>
  </sheetViews>
  <sheetFormatPr defaultColWidth="12.59765625" defaultRowHeight="14.5"/>
  <cols>
    <col min="1" max="1" width="4.8984375" style="242" customWidth="1"/>
    <col min="2" max="2" width="40.59765625" style="242" customWidth="1"/>
    <col min="3" max="3" width="11.59765625" style="242" customWidth="1"/>
    <col min="4" max="4" width="10.09765625" style="242" customWidth="1"/>
    <col min="5" max="5" width="2.296875" style="242" customWidth="1"/>
    <col min="6" max="6" width="35.8984375" style="242" customWidth="1"/>
    <col min="7" max="16384" width="12.59765625" style="242"/>
  </cols>
  <sheetData>
    <row r="1" spans="1:6">
      <c r="A1" s="240" t="s">
        <v>1075</v>
      </c>
      <c r="B1" s="40"/>
      <c r="C1" s="40"/>
      <c r="D1" s="241">
        <v>2016</v>
      </c>
      <c r="E1" s="40"/>
    </row>
    <row r="2" spans="1:6">
      <c r="A2" s="40"/>
      <c r="B2" s="40"/>
      <c r="C2" s="40"/>
      <c r="D2" s="40"/>
      <c r="E2" s="40"/>
      <c r="F2" s="40"/>
    </row>
    <row r="3" spans="1:6">
      <c r="A3" s="240" t="s">
        <v>4067</v>
      </c>
      <c r="B3" s="40"/>
      <c r="C3" s="40"/>
      <c r="D3" s="243">
        <f t="shared" ref="D3" si="0">SUM(D5:D11)</f>
        <v>521281</v>
      </c>
      <c r="E3" s="40"/>
    </row>
    <row r="4" spans="1:6">
      <c r="A4" s="40"/>
      <c r="B4" s="40"/>
      <c r="C4" s="40"/>
      <c r="D4" s="244"/>
      <c r="E4" s="40"/>
      <c r="F4" s="40"/>
    </row>
    <row r="5" spans="1:6">
      <c r="A5" s="240" t="s">
        <v>4944</v>
      </c>
      <c r="C5" s="240"/>
      <c r="D5" s="243">
        <f t="shared" ref="D5" si="1">D43</f>
        <v>39834</v>
      </c>
      <c r="E5" s="40"/>
      <c r="F5" s="245"/>
    </row>
    <row r="6" spans="1:6">
      <c r="A6" s="240" t="s">
        <v>4945</v>
      </c>
      <c r="C6" s="240"/>
      <c r="D6" s="243">
        <f t="shared" ref="D6" si="2">D67</f>
        <v>102964</v>
      </c>
      <c r="E6" s="40"/>
      <c r="F6" s="245"/>
    </row>
    <row r="7" spans="1:6">
      <c r="A7" s="240" t="s">
        <v>4946</v>
      </c>
      <c r="C7" s="240"/>
      <c r="D7" s="243">
        <f t="shared" ref="D7" si="3">D115</f>
        <v>57705</v>
      </c>
      <c r="E7" s="40"/>
      <c r="F7" s="245"/>
    </row>
    <row r="8" spans="1:6">
      <c r="A8" s="240" t="s">
        <v>4947</v>
      </c>
      <c r="C8" s="240"/>
      <c r="D8" s="243">
        <f t="shared" ref="D8" si="4">D135</f>
        <v>83059</v>
      </c>
      <c r="E8" s="40"/>
      <c r="F8" s="245"/>
    </row>
    <row r="9" spans="1:6">
      <c r="A9" s="240" t="s">
        <v>4948</v>
      </c>
      <c r="C9" s="240"/>
      <c r="D9" s="243">
        <f t="shared" ref="D9" si="5">D172</f>
        <v>63636</v>
      </c>
      <c r="E9" s="40"/>
      <c r="F9" s="245"/>
    </row>
    <row r="10" spans="1:6">
      <c r="A10" s="240" t="s">
        <v>4949</v>
      </c>
      <c r="C10" s="240"/>
      <c r="D10" s="243">
        <f t="shared" ref="D10" si="6">D199</f>
        <v>101682</v>
      </c>
      <c r="E10" s="40"/>
      <c r="F10" s="245"/>
    </row>
    <row r="11" spans="1:6">
      <c r="A11" s="240" t="s">
        <v>4950</v>
      </c>
      <c r="C11" s="240"/>
      <c r="D11" s="243">
        <f t="shared" ref="D11" si="7">D240</f>
        <v>72401</v>
      </c>
      <c r="E11" s="40"/>
      <c r="F11" s="245"/>
    </row>
    <row r="12" spans="1:6">
      <c r="A12" s="40"/>
      <c r="B12" s="40"/>
      <c r="C12" s="40"/>
      <c r="D12" s="40"/>
      <c r="E12" s="40"/>
      <c r="F12" s="40"/>
    </row>
    <row r="13" spans="1:6">
      <c r="A13" s="240" t="s">
        <v>4951</v>
      </c>
      <c r="D13" s="243">
        <f t="shared" ref="D13" si="8">D60</f>
        <v>39834</v>
      </c>
      <c r="E13" s="40"/>
      <c r="F13" s="240" t="s">
        <v>4060</v>
      </c>
    </row>
    <row r="14" spans="1:6">
      <c r="A14" s="40"/>
      <c r="D14" s="246">
        <f t="shared" ref="D14" si="9">D106</f>
        <v>26011</v>
      </c>
      <c r="E14" s="40"/>
      <c r="F14" s="240" t="s">
        <v>4952</v>
      </c>
    </row>
    <row r="15" spans="1:6" ht="15" thickBot="1">
      <c r="A15" s="40"/>
      <c r="D15" s="247">
        <f>D163</f>
        <v>6144</v>
      </c>
      <c r="E15" s="40"/>
      <c r="F15" s="240" t="s">
        <v>4953</v>
      </c>
    </row>
    <row r="16" spans="1:6" ht="15" thickBot="1">
      <c r="A16" s="40"/>
      <c r="D16" s="247">
        <f>SUM(D13:D15)</f>
        <v>71989</v>
      </c>
      <c r="E16" s="40"/>
      <c r="F16" s="40"/>
    </row>
    <row r="17" spans="1:6">
      <c r="A17" s="40"/>
      <c r="D17" s="244"/>
      <c r="E17" s="40"/>
      <c r="F17" s="40"/>
    </row>
    <row r="18" spans="1:6">
      <c r="A18" s="240" t="s">
        <v>4954</v>
      </c>
      <c r="D18" s="243">
        <f t="shared" ref="D18" si="10">D107</f>
        <v>1931</v>
      </c>
      <c r="E18" s="40"/>
      <c r="F18" s="240" t="s">
        <v>4952</v>
      </c>
    </row>
    <row r="19" spans="1:6" ht="15" thickBot="1">
      <c r="A19" s="40"/>
      <c r="D19" s="247">
        <f t="shared" ref="D19" si="11">D262</f>
        <v>72401</v>
      </c>
      <c r="E19" s="40"/>
      <c r="F19" s="240" t="s">
        <v>4066</v>
      </c>
    </row>
    <row r="20" spans="1:6" ht="15" thickBot="1">
      <c r="A20" s="40"/>
      <c r="D20" s="247">
        <f t="shared" ref="D20" si="12">D18+D19</f>
        <v>74332</v>
      </c>
      <c r="E20" s="40"/>
      <c r="F20" s="40"/>
    </row>
    <row r="21" spans="1:6">
      <c r="A21" s="40"/>
      <c r="D21" s="244"/>
      <c r="E21" s="40"/>
      <c r="F21" s="40"/>
    </row>
    <row r="22" spans="1:6">
      <c r="A22" s="240" t="s">
        <v>4955</v>
      </c>
      <c r="D22" s="243">
        <f t="shared" ref="D22" si="13">D231</f>
        <v>77156</v>
      </c>
      <c r="E22" s="40"/>
      <c r="F22" s="240" t="s">
        <v>4953</v>
      </c>
    </row>
    <row r="23" spans="1:6">
      <c r="A23" s="40"/>
      <c r="D23" s="244"/>
      <c r="E23" s="40"/>
      <c r="F23" s="40"/>
    </row>
    <row r="24" spans="1:6">
      <c r="A24" s="240" t="s">
        <v>4956</v>
      </c>
      <c r="D24" s="243">
        <f t="shared" ref="D24" si="14">D128</f>
        <v>57705</v>
      </c>
      <c r="E24" s="40"/>
      <c r="F24" s="240" t="s">
        <v>4062</v>
      </c>
    </row>
    <row r="25" spans="1:6" ht="15" thickBot="1">
      <c r="A25" s="40"/>
      <c r="D25" s="247">
        <f t="shared" ref="D25" si="15">D164</f>
        <v>16184</v>
      </c>
      <c r="E25" s="40"/>
      <c r="F25" s="240" t="s">
        <v>4957</v>
      </c>
    </row>
    <row r="26" spans="1:6" ht="15" thickBot="1">
      <c r="A26" s="40"/>
      <c r="D26" s="247">
        <f t="shared" ref="D26" si="16">D24+D25</f>
        <v>73889</v>
      </c>
      <c r="E26" s="40"/>
      <c r="F26" s="40"/>
    </row>
    <row r="27" spans="1:6">
      <c r="A27" s="40"/>
      <c r="D27" s="244"/>
      <c r="E27" s="40"/>
      <c r="F27" s="40"/>
    </row>
    <row r="28" spans="1:6">
      <c r="A28" s="240" t="s">
        <v>4958</v>
      </c>
      <c r="D28" s="243">
        <f t="shared" ref="D28" si="17">D108</f>
        <v>75022</v>
      </c>
      <c r="E28" s="40"/>
      <c r="F28" s="240" t="s">
        <v>4952</v>
      </c>
    </row>
    <row r="29" spans="1:6">
      <c r="A29" s="40"/>
      <c r="D29" s="244"/>
      <c r="E29" s="40"/>
      <c r="F29" s="40"/>
    </row>
    <row r="30" spans="1:6">
      <c r="A30" s="240" t="s">
        <v>4959</v>
      </c>
      <c r="D30" s="243">
        <f t="shared" ref="D30" si="18">D165</f>
        <v>60731</v>
      </c>
      <c r="E30" s="40"/>
      <c r="F30" s="240" t="s">
        <v>4957</v>
      </c>
    </row>
    <row r="31" spans="1:6" ht="15" thickBot="1">
      <c r="A31" s="40"/>
      <c r="D31" s="247">
        <f t="shared" ref="D31" si="19">D232</f>
        <v>13830</v>
      </c>
      <c r="E31" s="40"/>
      <c r="F31" s="240" t="s">
        <v>4953</v>
      </c>
    </row>
    <row r="32" spans="1:6" ht="15" thickBot="1">
      <c r="A32" s="40"/>
      <c r="D32" s="247">
        <f t="shared" ref="D32" si="20">SUM(D30:D31)</f>
        <v>74561</v>
      </c>
      <c r="E32" s="40"/>
      <c r="F32" s="40"/>
    </row>
    <row r="33" spans="1:10">
      <c r="A33" s="40"/>
      <c r="D33" s="244"/>
      <c r="E33" s="40"/>
      <c r="F33" s="40"/>
    </row>
    <row r="34" spans="1:10">
      <c r="A34" s="240" t="s">
        <v>4960</v>
      </c>
      <c r="D34" s="243">
        <f t="shared" ref="D34" si="21">D192</f>
        <v>63636</v>
      </c>
      <c r="E34" s="40"/>
      <c r="F34" s="240" t="s">
        <v>4064</v>
      </c>
    </row>
    <row r="35" spans="1:10" ht="15" thickBot="1">
      <c r="A35" s="40"/>
      <c r="B35" s="40"/>
      <c r="C35" s="40"/>
      <c r="D35" s="247">
        <f t="shared" ref="D35" si="22">D233</f>
        <v>10696</v>
      </c>
      <c r="E35" s="40"/>
      <c r="F35" s="240" t="s">
        <v>4953</v>
      </c>
    </row>
    <row r="36" spans="1:10" ht="15" thickBot="1">
      <c r="A36" s="40"/>
      <c r="B36" s="40"/>
      <c r="C36" s="40"/>
      <c r="D36" s="247">
        <f t="shared" ref="D36" si="23">D34+D35</f>
        <v>74332</v>
      </c>
      <c r="E36" s="40"/>
      <c r="F36" s="40"/>
    </row>
    <row r="37" spans="1:10">
      <c r="A37" s="40"/>
      <c r="B37" s="40"/>
      <c r="C37" s="40"/>
      <c r="D37" s="244"/>
      <c r="E37" s="40"/>
      <c r="F37" s="40"/>
    </row>
    <row r="38" spans="1:10">
      <c r="A38" s="240" t="s">
        <v>1041</v>
      </c>
      <c r="B38" s="40"/>
      <c r="C38" s="40"/>
      <c r="D38" s="243">
        <f t="shared" ref="D38" si="24">D16+D20+D22+D26+D28+D32+D36</f>
        <v>521281</v>
      </c>
      <c r="E38" s="40"/>
      <c r="F38" s="40"/>
    </row>
    <row r="39" spans="1:10">
      <c r="A39" s="40"/>
      <c r="B39" s="40"/>
      <c r="C39" s="40"/>
      <c r="D39" s="244"/>
      <c r="E39" s="40"/>
      <c r="F39" s="40"/>
    </row>
    <row r="40" spans="1:10">
      <c r="A40" s="240"/>
      <c r="B40" s="40"/>
      <c r="C40" s="40"/>
      <c r="D40" s="248"/>
      <c r="E40" s="40"/>
      <c r="F40" s="40"/>
    </row>
    <row r="41" spans="1:10">
      <c r="A41" s="40"/>
      <c r="B41" s="40"/>
      <c r="D41" s="10" t="s">
        <v>285</v>
      </c>
      <c r="E41" s="249"/>
      <c r="F41" s="38" t="s">
        <v>4116</v>
      </c>
    </row>
    <row r="42" spans="1:10">
      <c r="A42" s="40"/>
      <c r="B42" s="40"/>
      <c r="C42" s="40"/>
      <c r="D42" s="39">
        <v>2016</v>
      </c>
      <c r="E42" s="40"/>
      <c r="F42" s="41" t="s">
        <v>286</v>
      </c>
    </row>
    <row r="43" spans="1:10">
      <c r="A43" s="240" t="s">
        <v>4961</v>
      </c>
      <c r="C43" s="240"/>
      <c r="D43" s="243">
        <f t="shared" ref="D43" si="25">SUM(D44:D58)</f>
        <v>39834</v>
      </c>
      <c r="E43" s="40"/>
      <c r="F43" s="40"/>
    </row>
    <row r="44" spans="1:10">
      <c r="A44" s="239">
        <v>1</v>
      </c>
      <c r="B44" s="240" t="s">
        <v>4962</v>
      </c>
      <c r="C44" s="1" t="s">
        <v>4963</v>
      </c>
      <c r="D44" s="7">
        <v>2839</v>
      </c>
      <c r="E44" s="40"/>
      <c r="F44" s="240" t="s">
        <v>4951</v>
      </c>
      <c r="G44" s="19"/>
      <c r="H44" s="1"/>
      <c r="J44" s="1"/>
    </row>
    <row r="45" spans="1:10">
      <c r="A45" s="239">
        <v>2</v>
      </c>
      <c r="B45" s="240" t="s">
        <v>4964</v>
      </c>
      <c r="C45" s="1" t="s">
        <v>4965</v>
      </c>
      <c r="D45" s="7">
        <v>1998</v>
      </c>
      <c r="E45" s="40"/>
      <c r="F45" s="240" t="s">
        <v>4951</v>
      </c>
      <c r="G45" s="19"/>
      <c r="H45" s="1"/>
      <c r="J45" s="1"/>
    </row>
    <row r="46" spans="1:10">
      <c r="A46" s="239">
        <v>3</v>
      </c>
      <c r="B46" s="240" t="s">
        <v>4966</v>
      </c>
      <c r="C46" s="1" t="s">
        <v>4967</v>
      </c>
      <c r="D46" s="7">
        <v>4806</v>
      </c>
      <c r="E46" s="40"/>
      <c r="F46" s="240" t="s">
        <v>4951</v>
      </c>
      <c r="G46" s="19"/>
      <c r="H46" s="1"/>
      <c r="J46" s="1"/>
    </row>
    <row r="47" spans="1:10">
      <c r="A47" s="239">
        <v>4</v>
      </c>
      <c r="B47" s="240" t="s">
        <v>4968</v>
      </c>
      <c r="C47" s="1" t="s">
        <v>4969</v>
      </c>
      <c r="D47" s="7">
        <v>2892</v>
      </c>
      <c r="E47" s="40"/>
      <c r="F47" s="240" t="s">
        <v>4951</v>
      </c>
      <c r="G47" s="19"/>
      <c r="H47" s="1"/>
      <c r="J47" s="1"/>
    </row>
    <row r="48" spans="1:10">
      <c r="A48" s="239">
        <v>5</v>
      </c>
      <c r="B48" s="240" t="s">
        <v>4970</v>
      </c>
      <c r="C48" s="1" t="s">
        <v>4971</v>
      </c>
      <c r="D48" s="7">
        <v>4512</v>
      </c>
      <c r="E48" s="40"/>
      <c r="F48" s="240" t="s">
        <v>4951</v>
      </c>
      <c r="G48" s="19"/>
      <c r="H48" s="1"/>
      <c r="J48" s="1"/>
    </row>
    <row r="49" spans="1:10">
      <c r="A49" s="239">
        <v>6</v>
      </c>
      <c r="B49" s="240" t="s">
        <v>4972</v>
      </c>
      <c r="C49" s="1" t="s">
        <v>4973</v>
      </c>
      <c r="D49" s="7">
        <v>2559</v>
      </c>
      <c r="E49" s="40"/>
      <c r="F49" s="240" t="s">
        <v>4951</v>
      </c>
      <c r="G49" s="19"/>
      <c r="H49" s="1"/>
      <c r="J49" s="1"/>
    </row>
    <row r="50" spans="1:10">
      <c r="A50" s="239">
        <v>7</v>
      </c>
      <c r="B50" s="240" t="s">
        <v>4974</v>
      </c>
      <c r="C50" s="1" t="s">
        <v>4975</v>
      </c>
      <c r="D50" s="7">
        <v>1432</v>
      </c>
      <c r="E50" s="40"/>
      <c r="F50" s="240" t="s">
        <v>4951</v>
      </c>
      <c r="G50" s="19"/>
      <c r="H50" s="1"/>
      <c r="J50" s="1"/>
    </row>
    <row r="51" spans="1:10">
      <c r="A51" s="239">
        <v>8</v>
      </c>
      <c r="B51" s="240" t="s">
        <v>4976</v>
      </c>
      <c r="C51" s="1" t="s">
        <v>4977</v>
      </c>
      <c r="D51" s="7">
        <v>3541</v>
      </c>
      <c r="E51" s="40"/>
      <c r="F51" s="240" t="s">
        <v>4951</v>
      </c>
      <c r="G51" s="19"/>
      <c r="H51" s="1"/>
      <c r="J51" s="1"/>
    </row>
    <row r="52" spans="1:10">
      <c r="A52" s="239">
        <v>9</v>
      </c>
      <c r="B52" s="240" t="s">
        <v>4978</v>
      </c>
      <c r="C52" s="1" t="s">
        <v>4979</v>
      </c>
      <c r="D52" s="7">
        <v>2294</v>
      </c>
      <c r="E52" s="40"/>
      <c r="F52" s="240" t="s">
        <v>4951</v>
      </c>
      <c r="G52" s="19"/>
      <c r="H52" s="1"/>
      <c r="J52" s="1"/>
    </row>
    <row r="53" spans="1:10">
      <c r="A53" s="239">
        <v>10</v>
      </c>
      <c r="B53" s="240" t="s">
        <v>4980</v>
      </c>
      <c r="C53" s="1" t="s">
        <v>4981</v>
      </c>
      <c r="D53" s="7">
        <v>840</v>
      </c>
      <c r="E53" s="40"/>
      <c r="F53" s="240" t="s">
        <v>4951</v>
      </c>
      <c r="G53" s="19"/>
      <c r="H53" s="1"/>
      <c r="J53" s="1"/>
    </row>
    <row r="54" spans="1:10">
      <c r="A54" s="239">
        <v>11</v>
      </c>
      <c r="B54" s="240" t="s">
        <v>4982</v>
      </c>
      <c r="C54" s="1" t="s">
        <v>4983</v>
      </c>
      <c r="D54" s="7">
        <v>2765</v>
      </c>
      <c r="E54" s="40"/>
      <c r="F54" s="240" t="s">
        <v>4951</v>
      </c>
      <c r="G54" s="19"/>
      <c r="H54" s="1"/>
      <c r="J54" s="1"/>
    </row>
    <row r="55" spans="1:10">
      <c r="A55" s="239">
        <v>12</v>
      </c>
      <c r="B55" s="240" t="s">
        <v>679</v>
      </c>
      <c r="C55" s="1" t="s">
        <v>4984</v>
      </c>
      <c r="D55" s="7">
        <v>2703</v>
      </c>
      <c r="E55" s="40"/>
      <c r="F55" s="240" t="s">
        <v>4951</v>
      </c>
      <c r="G55" s="19"/>
      <c r="H55" s="1"/>
      <c r="J55" s="1"/>
    </row>
    <row r="56" spans="1:10">
      <c r="A56" s="239">
        <v>13</v>
      </c>
      <c r="B56" s="240" t="s">
        <v>3880</v>
      </c>
      <c r="C56" s="1" t="s">
        <v>4985</v>
      </c>
      <c r="D56" s="7">
        <v>1397</v>
      </c>
      <c r="E56" s="40"/>
      <c r="F56" s="240" t="s">
        <v>4951</v>
      </c>
      <c r="G56" s="19"/>
      <c r="H56" s="1"/>
      <c r="J56" s="1"/>
    </row>
    <row r="57" spans="1:10">
      <c r="A57" s="239">
        <v>14</v>
      </c>
      <c r="B57" s="240" t="s">
        <v>4986</v>
      </c>
      <c r="C57" s="1" t="s">
        <v>4987</v>
      </c>
      <c r="D57" s="7">
        <v>2262</v>
      </c>
      <c r="E57" s="40"/>
      <c r="F57" s="240" t="s">
        <v>4951</v>
      </c>
      <c r="G57" s="19"/>
      <c r="H57" s="1"/>
      <c r="J57" s="1"/>
    </row>
    <row r="58" spans="1:10">
      <c r="A58" s="239">
        <v>15</v>
      </c>
      <c r="B58" s="240" t="s">
        <v>4988</v>
      </c>
      <c r="C58" s="1" t="s">
        <v>4989</v>
      </c>
      <c r="D58" s="7">
        <v>2994</v>
      </c>
      <c r="E58" s="40"/>
      <c r="F58" s="240" t="s">
        <v>4951</v>
      </c>
      <c r="G58" s="19"/>
      <c r="H58" s="1"/>
      <c r="J58" s="1"/>
    </row>
    <row r="59" spans="1:10">
      <c r="A59" s="40"/>
      <c r="B59" s="40"/>
      <c r="C59" s="40"/>
      <c r="D59" s="244"/>
      <c r="E59" s="40"/>
      <c r="F59" s="40"/>
    </row>
    <row r="60" spans="1:10">
      <c r="A60" s="240" t="s">
        <v>4990</v>
      </c>
      <c r="C60" s="40"/>
      <c r="D60" s="243">
        <f t="shared" ref="D60" si="26">SUM(D44:D58)</f>
        <v>39834</v>
      </c>
      <c r="E60" s="40"/>
      <c r="F60" s="40"/>
    </row>
    <row r="61" spans="1:10">
      <c r="A61" s="240"/>
      <c r="B61" s="240"/>
      <c r="C61" s="40"/>
      <c r="D61" s="250"/>
      <c r="E61" s="40"/>
      <c r="F61" s="40"/>
    </row>
    <row r="62" spans="1:10">
      <c r="A62" s="240" t="s">
        <v>4991</v>
      </c>
      <c r="B62" s="240"/>
      <c r="C62" s="40"/>
      <c r="D62" s="250"/>
      <c r="E62" s="40"/>
      <c r="F62" s="40"/>
    </row>
    <row r="63" spans="1:10">
      <c r="A63" s="240"/>
      <c r="B63" s="240"/>
      <c r="C63" s="40"/>
      <c r="D63" s="250"/>
      <c r="E63" s="40"/>
      <c r="F63" s="40"/>
    </row>
    <row r="64" spans="1:10">
      <c r="A64" s="240"/>
      <c r="B64" s="240"/>
      <c r="C64" s="40"/>
      <c r="D64" s="250"/>
      <c r="E64" s="40"/>
      <c r="F64" s="40"/>
    </row>
    <row r="65" spans="1:10">
      <c r="A65" s="40"/>
      <c r="B65" s="40"/>
      <c r="D65" s="10" t="s">
        <v>285</v>
      </c>
      <c r="E65" s="249"/>
      <c r="F65" s="38" t="s">
        <v>4116</v>
      </c>
    </row>
    <row r="66" spans="1:10">
      <c r="A66" s="40"/>
      <c r="B66" s="40"/>
      <c r="C66" s="40"/>
      <c r="D66" s="39">
        <v>2016</v>
      </c>
      <c r="E66" s="40"/>
      <c r="F66" s="41" t="s">
        <v>286</v>
      </c>
    </row>
    <row r="67" spans="1:10">
      <c r="A67" s="240" t="s">
        <v>4992</v>
      </c>
      <c r="C67" s="40"/>
      <c r="D67" s="243">
        <f>SUM(D68:D78)+SUM(D79:D104)</f>
        <v>102964</v>
      </c>
      <c r="E67" s="40"/>
      <c r="F67" s="40"/>
    </row>
    <row r="68" spans="1:10">
      <c r="A68" s="239">
        <v>1</v>
      </c>
      <c r="B68" s="240" t="s">
        <v>4993</v>
      </c>
      <c r="C68" s="1" t="s">
        <v>4994</v>
      </c>
      <c r="D68" s="7">
        <v>3625</v>
      </c>
      <c r="E68" s="40"/>
      <c r="F68" s="240" t="s">
        <v>4958</v>
      </c>
      <c r="H68" s="1"/>
      <c r="J68" s="1"/>
    </row>
    <row r="69" spans="1:10">
      <c r="A69" s="239">
        <v>2</v>
      </c>
      <c r="B69" s="240" t="s">
        <v>4995</v>
      </c>
      <c r="C69" s="1" t="s">
        <v>4996</v>
      </c>
      <c r="D69" s="7">
        <v>1982</v>
      </c>
      <c r="E69" s="40"/>
      <c r="F69" s="240" t="s">
        <v>4958</v>
      </c>
      <c r="H69" s="1"/>
      <c r="J69" s="1"/>
    </row>
    <row r="70" spans="1:10">
      <c r="A70" s="239">
        <v>3</v>
      </c>
      <c r="B70" s="240" t="s">
        <v>4997</v>
      </c>
      <c r="C70" s="1" t="s">
        <v>4998</v>
      </c>
      <c r="D70" s="7">
        <v>1984</v>
      </c>
      <c r="E70" s="40"/>
      <c r="F70" s="240" t="s">
        <v>4951</v>
      </c>
      <c r="H70" s="1"/>
      <c r="J70" s="1"/>
    </row>
    <row r="71" spans="1:10">
      <c r="A71" s="239">
        <v>4</v>
      </c>
      <c r="B71" s="240" t="s">
        <v>4999</v>
      </c>
      <c r="C71" s="1" t="s">
        <v>5000</v>
      </c>
      <c r="D71" s="7">
        <v>3785</v>
      </c>
      <c r="E71" s="40"/>
      <c r="F71" s="240" t="s">
        <v>4958</v>
      </c>
      <c r="H71" s="1"/>
      <c r="J71" s="1"/>
    </row>
    <row r="72" spans="1:10">
      <c r="A72" s="239">
        <v>5</v>
      </c>
      <c r="B72" s="240" t="s">
        <v>5001</v>
      </c>
      <c r="C72" s="1" t="s">
        <v>5002</v>
      </c>
      <c r="D72" s="7">
        <v>6065</v>
      </c>
      <c r="E72" s="40"/>
      <c r="F72" s="240" t="s">
        <v>4958</v>
      </c>
      <c r="H72" s="1"/>
      <c r="J72" s="1"/>
    </row>
    <row r="73" spans="1:10">
      <c r="A73" s="239">
        <v>6</v>
      </c>
      <c r="B73" s="240" t="s">
        <v>5003</v>
      </c>
      <c r="C73" s="1" t="s">
        <v>5004</v>
      </c>
      <c r="D73" s="7">
        <v>1802</v>
      </c>
      <c r="E73" s="40"/>
      <c r="F73" s="240" t="s">
        <v>4951</v>
      </c>
      <c r="H73" s="1"/>
      <c r="J73" s="1"/>
    </row>
    <row r="74" spans="1:10">
      <c r="A74" s="239">
        <v>7</v>
      </c>
      <c r="B74" s="240" t="s">
        <v>5005</v>
      </c>
      <c r="C74" s="1" t="s">
        <v>5006</v>
      </c>
      <c r="D74" s="7">
        <v>1698</v>
      </c>
      <c r="E74" s="40"/>
      <c r="F74" s="240" t="s">
        <v>4951</v>
      </c>
      <c r="H74" s="1"/>
      <c r="J74" s="1"/>
    </row>
    <row r="75" spans="1:10">
      <c r="A75" s="239">
        <v>8</v>
      </c>
      <c r="B75" s="242" t="s">
        <v>5007</v>
      </c>
      <c r="C75" s="1" t="s">
        <v>5008</v>
      </c>
      <c r="D75" s="8">
        <v>1874</v>
      </c>
      <c r="E75" s="40"/>
      <c r="F75" s="240" t="s">
        <v>4958</v>
      </c>
      <c r="H75" s="1"/>
      <c r="J75" s="1"/>
    </row>
    <row r="76" spans="1:10">
      <c r="A76" s="239">
        <v>9</v>
      </c>
      <c r="B76" s="240" t="s">
        <v>5009</v>
      </c>
      <c r="C76" s="1" t="s">
        <v>5010</v>
      </c>
      <c r="D76" s="8">
        <v>1734</v>
      </c>
      <c r="E76" s="40"/>
      <c r="F76" s="240" t="s">
        <v>4958</v>
      </c>
      <c r="H76" s="1"/>
      <c r="J76" s="1"/>
    </row>
    <row r="77" spans="1:10">
      <c r="A77" s="239">
        <v>10</v>
      </c>
      <c r="B77" s="242" t="s">
        <v>5011</v>
      </c>
      <c r="C77" s="1" t="s">
        <v>5012</v>
      </c>
      <c r="D77" s="8">
        <v>1828</v>
      </c>
      <c r="E77" s="40"/>
      <c r="F77" s="240" t="s">
        <v>4958</v>
      </c>
      <c r="H77" s="1"/>
      <c r="J77" s="1"/>
    </row>
    <row r="78" spans="1:10">
      <c r="A78" s="239">
        <v>11</v>
      </c>
      <c r="B78" s="240" t="s">
        <v>5013</v>
      </c>
      <c r="C78" s="1" t="s">
        <v>5014</v>
      </c>
      <c r="D78" s="8">
        <v>2042</v>
      </c>
      <c r="E78" s="40"/>
      <c r="F78" s="240" t="s">
        <v>4958</v>
      </c>
      <c r="H78" s="1"/>
      <c r="J78" s="1"/>
    </row>
    <row r="79" spans="1:10">
      <c r="A79" s="239">
        <v>12</v>
      </c>
      <c r="B79" s="240" t="s">
        <v>5015</v>
      </c>
      <c r="C79" s="1" t="s">
        <v>5016</v>
      </c>
      <c r="D79" s="251">
        <v>3953</v>
      </c>
      <c r="E79" s="40"/>
      <c r="F79" s="240" t="s">
        <v>4958</v>
      </c>
      <c r="H79" s="1"/>
      <c r="J79" s="1"/>
    </row>
    <row r="80" spans="1:10">
      <c r="A80" s="239">
        <v>13</v>
      </c>
      <c r="B80" s="240" t="s">
        <v>5017</v>
      </c>
      <c r="C80" s="1" t="s">
        <v>5018</v>
      </c>
      <c r="D80" s="251">
        <v>5505</v>
      </c>
      <c r="E80" s="40"/>
      <c r="F80" s="240" t="s">
        <v>4958</v>
      </c>
      <c r="H80" s="1"/>
      <c r="J80" s="1"/>
    </row>
    <row r="81" spans="1:10">
      <c r="A81" s="239">
        <v>14</v>
      </c>
      <c r="B81" s="240" t="s">
        <v>5019</v>
      </c>
      <c r="C81" s="1" t="s">
        <v>5020</v>
      </c>
      <c r="D81" s="252">
        <v>1476</v>
      </c>
      <c r="E81" s="40"/>
      <c r="F81" s="240" t="s">
        <v>4951</v>
      </c>
      <c r="H81" s="1"/>
      <c r="J81" s="1"/>
    </row>
    <row r="82" spans="1:10">
      <c r="A82" s="239">
        <v>15</v>
      </c>
      <c r="B82" s="240" t="s">
        <v>5021</v>
      </c>
      <c r="C82" s="1" t="s">
        <v>5022</v>
      </c>
      <c r="D82" s="251">
        <v>1775</v>
      </c>
      <c r="E82" s="40"/>
      <c r="F82" s="240" t="s">
        <v>4958</v>
      </c>
      <c r="H82" s="1"/>
      <c r="J82" s="1"/>
    </row>
    <row r="83" spans="1:10">
      <c r="A83" s="239">
        <v>16</v>
      </c>
      <c r="B83" s="240" t="s">
        <v>5023</v>
      </c>
      <c r="C83" s="1" t="s">
        <v>5024</v>
      </c>
      <c r="D83" s="251">
        <v>6028</v>
      </c>
      <c r="E83" s="40"/>
      <c r="F83" s="240" t="s">
        <v>4958</v>
      </c>
      <c r="H83" s="1"/>
      <c r="J83" s="1"/>
    </row>
    <row r="84" spans="1:10">
      <c r="A84" s="239">
        <v>17</v>
      </c>
      <c r="B84" s="240" t="s">
        <v>5025</v>
      </c>
      <c r="C84" s="1" t="s">
        <v>5026</v>
      </c>
      <c r="D84" s="251">
        <v>3540</v>
      </c>
      <c r="E84" s="40"/>
      <c r="F84" s="240" t="s">
        <v>4958</v>
      </c>
      <c r="H84" s="1"/>
      <c r="J84" s="1"/>
    </row>
    <row r="85" spans="1:10">
      <c r="A85" s="239">
        <v>18</v>
      </c>
      <c r="B85" s="240" t="s">
        <v>5027</v>
      </c>
      <c r="C85" s="1" t="s">
        <v>5028</v>
      </c>
      <c r="D85" s="251">
        <v>1781</v>
      </c>
      <c r="E85" s="40"/>
      <c r="F85" s="240" t="s">
        <v>4958</v>
      </c>
      <c r="H85" s="1"/>
      <c r="J85" s="1"/>
    </row>
    <row r="86" spans="1:10">
      <c r="A86" s="239">
        <v>19</v>
      </c>
      <c r="B86" s="240" t="s">
        <v>5029</v>
      </c>
      <c r="C86" s="1" t="s">
        <v>5030</v>
      </c>
      <c r="D86" s="251">
        <v>3545</v>
      </c>
      <c r="E86" s="40"/>
      <c r="F86" s="240" t="s">
        <v>4958</v>
      </c>
      <c r="H86" s="1"/>
      <c r="J86" s="1"/>
    </row>
    <row r="87" spans="1:10">
      <c r="A87" s="239">
        <v>20</v>
      </c>
      <c r="B87" s="240" t="s">
        <v>5031</v>
      </c>
      <c r="C87" s="1" t="s">
        <v>5032</v>
      </c>
      <c r="D87" s="251">
        <v>1908</v>
      </c>
      <c r="E87" s="40"/>
      <c r="F87" s="240" t="s">
        <v>4958</v>
      </c>
      <c r="H87" s="1"/>
      <c r="J87" s="1"/>
    </row>
    <row r="88" spans="1:10">
      <c r="A88" s="239">
        <v>21</v>
      </c>
      <c r="B88" s="240" t="s">
        <v>5033</v>
      </c>
      <c r="C88" s="1" t="s">
        <v>5034</v>
      </c>
      <c r="D88" s="7">
        <v>5924</v>
      </c>
      <c r="E88" s="40"/>
      <c r="F88" s="240" t="s">
        <v>4951</v>
      </c>
      <c r="H88" s="1"/>
      <c r="J88" s="1"/>
    </row>
    <row r="89" spans="1:10">
      <c r="A89" s="239">
        <v>22</v>
      </c>
      <c r="B89" s="240" t="s">
        <v>5035</v>
      </c>
      <c r="C89" s="1" t="s">
        <v>5036</v>
      </c>
      <c r="D89" s="7">
        <v>3992</v>
      </c>
      <c r="E89" s="40"/>
      <c r="F89" s="240" t="s">
        <v>4951</v>
      </c>
      <c r="H89" s="1"/>
      <c r="J89" s="1"/>
    </row>
    <row r="90" spans="1:10">
      <c r="A90" s="239">
        <v>23</v>
      </c>
      <c r="B90" s="240" t="s">
        <v>5037</v>
      </c>
      <c r="C90" s="1" t="s">
        <v>5038</v>
      </c>
      <c r="D90" s="8">
        <v>2108</v>
      </c>
      <c r="E90" s="40"/>
      <c r="F90" s="240" t="s">
        <v>4958</v>
      </c>
      <c r="H90" s="1"/>
      <c r="J90" s="1"/>
    </row>
    <row r="91" spans="1:10">
      <c r="A91" s="239">
        <v>24</v>
      </c>
      <c r="B91" s="240" t="s">
        <v>5039</v>
      </c>
      <c r="C91" s="1" t="s">
        <v>5040</v>
      </c>
      <c r="D91" s="7">
        <v>3398</v>
      </c>
      <c r="E91" s="40"/>
      <c r="F91" s="240" t="s">
        <v>4951</v>
      </c>
      <c r="H91" s="1"/>
      <c r="J91" s="1"/>
    </row>
    <row r="92" spans="1:10">
      <c r="A92" s="239">
        <v>25</v>
      </c>
      <c r="B92" s="240" t="s">
        <v>5041</v>
      </c>
      <c r="C92" s="1" t="s">
        <v>5042</v>
      </c>
      <c r="D92" s="8">
        <v>1822</v>
      </c>
      <c r="E92" s="40"/>
      <c r="F92" s="240" t="s">
        <v>4958</v>
      </c>
      <c r="H92" s="1"/>
      <c r="J92" s="1"/>
    </row>
    <row r="93" spans="1:10">
      <c r="A93" s="239">
        <v>26</v>
      </c>
      <c r="B93" s="240" t="s">
        <v>5043</v>
      </c>
      <c r="C93" s="1" t="s">
        <v>5044</v>
      </c>
      <c r="D93" s="8">
        <v>1806</v>
      </c>
      <c r="E93" s="40"/>
      <c r="F93" s="240" t="s">
        <v>4958</v>
      </c>
      <c r="H93" s="1"/>
      <c r="J93" s="1"/>
    </row>
    <row r="94" spans="1:10">
      <c r="A94" s="239">
        <v>27</v>
      </c>
      <c r="B94" s="240" t="s">
        <v>1074</v>
      </c>
      <c r="C94" s="1" t="s">
        <v>5045</v>
      </c>
      <c r="D94" s="8">
        <v>1668</v>
      </c>
      <c r="E94" s="40"/>
      <c r="F94" s="240" t="s">
        <v>4958</v>
      </c>
      <c r="H94" s="1"/>
      <c r="J94" s="1"/>
    </row>
    <row r="95" spans="1:10">
      <c r="A95" s="239">
        <v>28</v>
      </c>
      <c r="B95" s="240" t="s">
        <v>5046</v>
      </c>
      <c r="C95" s="1" t="s">
        <v>5047</v>
      </c>
      <c r="D95" s="8">
        <v>3735</v>
      </c>
      <c r="E95" s="40"/>
      <c r="F95" s="240" t="s">
        <v>4958</v>
      </c>
      <c r="H95" s="1"/>
      <c r="J95" s="1"/>
    </row>
    <row r="96" spans="1:10">
      <c r="A96" s="239">
        <v>29</v>
      </c>
      <c r="B96" s="240" t="s">
        <v>5048</v>
      </c>
      <c r="C96" s="1" t="s">
        <v>5049</v>
      </c>
      <c r="D96" s="8">
        <v>1942</v>
      </c>
      <c r="E96" s="40"/>
      <c r="F96" s="240" t="s">
        <v>4958</v>
      </c>
      <c r="H96" s="1"/>
      <c r="J96" s="1"/>
    </row>
    <row r="97" spans="1:10">
      <c r="A97" s="239">
        <v>30</v>
      </c>
      <c r="B97" s="240" t="s">
        <v>5050</v>
      </c>
      <c r="C97" s="1" t="s">
        <v>5051</v>
      </c>
      <c r="D97" s="8">
        <v>1824</v>
      </c>
      <c r="E97" s="40"/>
      <c r="F97" s="240" t="s">
        <v>4958</v>
      </c>
      <c r="H97" s="1"/>
      <c r="J97" s="1"/>
    </row>
    <row r="98" spans="1:10">
      <c r="A98" s="239">
        <v>31</v>
      </c>
      <c r="B98" s="240" t="s">
        <v>679</v>
      </c>
      <c r="C98" s="1" t="s">
        <v>5052</v>
      </c>
      <c r="D98" s="8">
        <v>1681</v>
      </c>
      <c r="E98" s="40"/>
      <c r="F98" s="240" t="s">
        <v>4958</v>
      </c>
      <c r="H98" s="1"/>
      <c r="J98" s="1"/>
    </row>
    <row r="99" spans="1:10">
      <c r="A99" s="239">
        <v>32</v>
      </c>
      <c r="B99" s="240" t="s">
        <v>5053</v>
      </c>
      <c r="C99" s="1" t="s">
        <v>5054</v>
      </c>
      <c r="D99" s="7">
        <v>1841</v>
      </c>
      <c r="E99" s="40"/>
      <c r="F99" s="240" t="s">
        <v>4951</v>
      </c>
      <c r="H99" s="1"/>
      <c r="J99" s="1"/>
    </row>
    <row r="100" spans="1:10">
      <c r="A100" s="239">
        <v>33</v>
      </c>
      <c r="B100" s="240" t="s">
        <v>5055</v>
      </c>
      <c r="C100" s="1" t="s">
        <v>5056</v>
      </c>
      <c r="D100" s="8">
        <v>1986</v>
      </c>
      <c r="E100" s="40"/>
      <c r="F100" s="240" t="s">
        <v>4958</v>
      </c>
      <c r="H100" s="1"/>
      <c r="J100" s="1"/>
    </row>
    <row r="101" spans="1:10">
      <c r="A101" s="239">
        <v>34</v>
      </c>
      <c r="B101" s="240" t="s">
        <v>5057</v>
      </c>
      <c r="C101" s="1" t="s">
        <v>5058</v>
      </c>
      <c r="D101" s="7">
        <v>3896</v>
      </c>
      <c r="E101" s="40"/>
      <c r="F101" s="240" t="s">
        <v>4951</v>
      </c>
      <c r="H101" s="1"/>
      <c r="J101" s="1"/>
    </row>
    <row r="102" spans="1:10">
      <c r="A102" s="239">
        <v>35</v>
      </c>
      <c r="B102" s="240" t="s">
        <v>5059</v>
      </c>
      <c r="C102" s="1" t="s">
        <v>5060</v>
      </c>
      <c r="D102" s="8">
        <v>1945</v>
      </c>
      <c r="E102" s="40"/>
      <c r="F102" s="240" t="s">
        <v>4958</v>
      </c>
      <c r="H102" s="1"/>
      <c r="J102" s="1"/>
    </row>
    <row r="103" spans="1:10">
      <c r="A103" s="239">
        <v>36</v>
      </c>
      <c r="B103" s="240" t="s">
        <v>5061</v>
      </c>
      <c r="C103" s="1" t="s">
        <v>5062</v>
      </c>
      <c r="D103" s="8">
        <v>3535</v>
      </c>
      <c r="E103" s="40"/>
      <c r="F103" s="240" t="s">
        <v>4958</v>
      </c>
      <c r="H103" s="1"/>
      <c r="J103" s="1"/>
    </row>
    <row r="104" spans="1:10">
      <c r="A104" s="239">
        <v>37</v>
      </c>
      <c r="B104" s="240" t="s">
        <v>5063</v>
      </c>
      <c r="C104" s="1" t="s">
        <v>5064</v>
      </c>
      <c r="D104" s="7">
        <v>1931</v>
      </c>
      <c r="E104" s="40"/>
      <c r="F104" s="240" t="s">
        <v>4954</v>
      </c>
      <c r="H104" s="1"/>
      <c r="J104" s="1"/>
    </row>
    <row r="105" spans="1:10">
      <c r="A105" s="40"/>
      <c r="B105" s="40"/>
      <c r="D105" s="244"/>
      <c r="E105" s="40"/>
      <c r="F105" s="40"/>
    </row>
    <row r="106" spans="1:10">
      <c r="A106" s="240" t="s">
        <v>4990</v>
      </c>
      <c r="D106" s="243">
        <f>D70+D73+D74+D81+D88+D89+D91+D99+D101</f>
        <v>26011</v>
      </c>
      <c r="E106" s="40"/>
      <c r="F106" s="40"/>
    </row>
    <row r="107" spans="1:10">
      <c r="A107" s="240" t="s">
        <v>5065</v>
      </c>
      <c r="D107" s="243">
        <f>D104</f>
        <v>1931</v>
      </c>
      <c r="E107" s="40"/>
      <c r="F107" s="40"/>
    </row>
    <row r="108" spans="1:10">
      <c r="A108" s="240" t="s">
        <v>4958</v>
      </c>
      <c r="D108" s="243">
        <f>D68+D69+D71+D72+SUM(D75:D77)+D78+D79+D80+SUM(D82:D87)+D90+SUM(D92:D98)+D100+D102+D103</f>
        <v>75022</v>
      </c>
      <c r="E108" s="40"/>
      <c r="F108" s="40"/>
    </row>
    <row r="109" spans="1:10">
      <c r="A109" s="240"/>
      <c r="B109" s="240"/>
      <c r="D109" s="250"/>
      <c r="E109" s="40"/>
      <c r="F109" s="40"/>
    </row>
    <row r="110" spans="1:10">
      <c r="A110" s="240" t="s">
        <v>5066</v>
      </c>
      <c r="B110" s="240"/>
      <c r="D110" s="250"/>
      <c r="E110" s="40"/>
      <c r="F110" s="40"/>
    </row>
    <row r="111" spans="1:10">
      <c r="A111" s="240"/>
      <c r="B111" s="240"/>
      <c r="D111" s="250"/>
      <c r="E111" s="40"/>
      <c r="F111" s="40"/>
    </row>
    <row r="112" spans="1:10">
      <c r="A112" s="240"/>
      <c r="B112" s="240"/>
      <c r="D112" s="250"/>
      <c r="E112" s="40"/>
      <c r="F112" s="40"/>
    </row>
    <row r="113" spans="1:10">
      <c r="A113" s="40"/>
      <c r="B113" s="40"/>
      <c r="D113" s="10" t="s">
        <v>285</v>
      </c>
      <c r="E113" s="249"/>
      <c r="F113" s="38" t="s">
        <v>4116</v>
      </c>
    </row>
    <row r="114" spans="1:10">
      <c r="A114" s="40"/>
      <c r="B114" s="40"/>
      <c r="D114" s="39">
        <v>2016</v>
      </c>
      <c r="E114" s="40"/>
      <c r="F114" s="41" t="s">
        <v>286</v>
      </c>
    </row>
    <row r="115" spans="1:10">
      <c r="A115" s="240" t="s">
        <v>5067</v>
      </c>
      <c r="D115" s="243">
        <f t="shared" ref="D115" si="27">SUM(D116:D126)</f>
        <v>57705</v>
      </c>
      <c r="E115" s="40"/>
      <c r="F115" s="40"/>
    </row>
    <row r="116" spans="1:10">
      <c r="A116" s="240" t="s">
        <v>812</v>
      </c>
      <c r="B116" s="240" t="s">
        <v>998</v>
      </c>
      <c r="C116" s="1" t="s">
        <v>5068</v>
      </c>
      <c r="D116" s="13">
        <v>5644</v>
      </c>
      <c r="E116" s="40"/>
      <c r="F116" s="240" t="s">
        <v>4956</v>
      </c>
      <c r="H116" s="21"/>
      <c r="J116" s="1"/>
    </row>
    <row r="117" spans="1:10">
      <c r="A117" s="240" t="s">
        <v>813</v>
      </c>
      <c r="B117" s="240" t="s">
        <v>5069</v>
      </c>
      <c r="C117" s="1" t="s">
        <v>5070</v>
      </c>
      <c r="D117" s="13">
        <v>5559</v>
      </c>
      <c r="E117" s="40"/>
      <c r="F117" s="240" t="s">
        <v>4956</v>
      </c>
      <c r="H117" s="21"/>
      <c r="J117" s="1"/>
    </row>
    <row r="118" spans="1:10">
      <c r="A118" s="240" t="s">
        <v>814</v>
      </c>
      <c r="B118" s="240" t="s">
        <v>5071</v>
      </c>
      <c r="C118" s="1" t="s">
        <v>5072</v>
      </c>
      <c r="D118" s="13">
        <v>5230</v>
      </c>
      <c r="E118" s="40"/>
      <c r="F118" s="240" t="s">
        <v>4956</v>
      </c>
      <c r="H118" s="21"/>
      <c r="J118" s="1"/>
    </row>
    <row r="119" spans="1:10">
      <c r="A119" s="240" t="s">
        <v>815</v>
      </c>
      <c r="B119" s="240" t="s">
        <v>5073</v>
      </c>
      <c r="C119" s="1" t="s">
        <v>5074</v>
      </c>
      <c r="D119" s="13">
        <v>5524</v>
      </c>
      <c r="E119" s="40"/>
      <c r="F119" s="240" t="s">
        <v>4956</v>
      </c>
      <c r="H119" s="21"/>
      <c r="J119" s="1"/>
    </row>
    <row r="120" spans="1:10">
      <c r="A120" s="240" t="s">
        <v>816</v>
      </c>
      <c r="B120" s="240" t="s">
        <v>5075</v>
      </c>
      <c r="C120" s="1" t="s">
        <v>5076</v>
      </c>
      <c r="D120" s="13">
        <v>5897</v>
      </c>
      <c r="E120" s="40"/>
      <c r="F120" s="240" t="s">
        <v>4956</v>
      </c>
      <c r="H120" s="21"/>
      <c r="J120" s="1"/>
    </row>
    <row r="121" spans="1:10">
      <c r="A121" s="240" t="s">
        <v>826</v>
      </c>
      <c r="B121" s="240" t="s">
        <v>883</v>
      </c>
      <c r="C121" s="1" t="s">
        <v>5077</v>
      </c>
      <c r="D121" s="13">
        <v>5353</v>
      </c>
      <c r="E121" s="40"/>
      <c r="F121" s="240" t="s">
        <v>4956</v>
      </c>
      <c r="H121" s="21"/>
      <c r="J121" s="1"/>
    </row>
    <row r="122" spans="1:10">
      <c r="A122" s="240" t="s">
        <v>827</v>
      </c>
      <c r="B122" s="240" t="s">
        <v>5078</v>
      </c>
      <c r="C122" s="1" t="s">
        <v>5079</v>
      </c>
      <c r="D122" s="13">
        <v>4987</v>
      </c>
      <c r="E122" s="40"/>
      <c r="F122" s="240" t="s">
        <v>4956</v>
      </c>
      <c r="H122" s="21"/>
      <c r="J122" s="1"/>
    </row>
    <row r="123" spans="1:10">
      <c r="A123" s="240" t="s">
        <v>828</v>
      </c>
      <c r="B123" s="240" t="s">
        <v>5080</v>
      </c>
      <c r="C123" s="1" t="s">
        <v>5081</v>
      </c>
      <c r="D123" s="13">
        <v>4834</v>
      </c>
      <c r="E123" s="40"/>
      <c r="F123" s="240" t="s">
        <v>4956</v>
      </c>
      <c r="H123" s="21"/>
      <c r="J123" s="1"/>
    </row>
    <row r="124" spans="1:10">
      <c r="A124" s="240" t="s">
        <v>829</v>
      </c>
      <c r="B124" s="240" t="s">
        <v>5082</v>
      </c>
      <c r="C124" s="1" t="s">
        <v>5083</v>
      </c>
      <c r="D124" s="13">
        <v>5353</v>
      </c>
      <c r="E124" s="40"/>
      <c r="F124" s="240" t="s">
        <v>4956</v>
      </c>
      <c r="H124" s="21"/>
      <c r="J124" s="1"/>
    </row>
    <row r="125" spans="1:10">
      <c r="A125" s="240" t="s">
        <v>830</v>
      </c>
      <c r="B125" s="240" t="s">
        <v>695</v>
      </c>
      <c r="C125" s="1" t="s">
        <v>5084</v>
      </c>
      <c r="D125" s="13">
        <v>5294</v>
      </c>
      <c r="E125" s="40"/>
      <c r="F125" s="240" t="s">
        <v>4956</v>
      </c>
      <c r="H125" s="21"/>
      <c r="J125" s="1"/>
    </row>
    <row r="126" spans="1:10">
      <c r="A126" s="240" t="s">
        <v>831</v>
      </c>
      <c r="B126" s="240" t="s">
        <v>303</v>
      </c>
      <c r="C126" s="1" t="s">
        <v>5085</v>
      </c>
      <c r="D126" s="13">
        <v>4030</v>
      </c>
      <c r="E126" s="40"/>
      <c r="F126" s="240" t="s">
        <v>4956</v>
      </c>
      <c r="H126" s="21"/>
      <c r="J126" s="1"/>
    </row>
    <row r="127" spans="1:10">
      <c r="A127" s="40"/>
      <c r="B127" s="40"/>
      <c r="C127" s="40"/>
      <c r="D127" s="244"/>
      <c r="E127" s="40"/>
      <c r="F127" s="40"/>
    </row>
    <row r="128" spans="1:10">
      <c r="A128" s="240" t="s">
        <v>5086</v>
      </c>
      <c r="D128" s="243">
        <f t="shared" ref="D128" si="28">SUM(D116:D126)</f>
        <v>57705</v>
      </c>
      <c r="E128" s="40"/>
      <c r="F128" s="40"/>
    </row>
    <row r="129" spans="1:10">
      <c r="A129" s="240"/>
      <c r="B129" s="240"/>
      <c r="D129" s="250"/>
      <c r="E129" s="40"/>
      <c r="F129" s="40"/>
    </row>
    <row r="130" spans="1:10">
      <c r="A130" s="240" t="s">
        <v>5087</v>
      </c>
      <c r="B130" s="240"/>
      <c r="D130" s="250"/>
      <c r="E130" s="40"/>
      <c r="F130" s="40"/>
    </row>
    <row r="131" spans="1:10">
      <c r="A131" s="240"/>
      <c r="B131" s="240"/>
      <c r="D131" s="250"/>
      <c r="E131" s="40"/>
      <c r="F131" s="40"/>
    </row>
    <row r="132" spans="1:10">
      <c r="A132" s="240"/>
      <c r="B132" s="240"/>
      <c r="D132" s="250"/>
      <c r="E132" s="40"/>
      <c r="F132" s="40"/>
    </row>
    <row r="133" spans="1:10">
      <c r="A133" s="40"/>
      <c r="B133" s="40"/>
      <c r="D133" s="10" t="s">
        <v>285</v>
      </c>
      <c r="E133" s="249"/>
      <c r="F133" s="38" t="s">
        <v>4116</v>
      </c>
    </row>
    <row r="134" spans="1:10">
      <c r="A134" s="40"/>
      <c r="B134" s="40"/>
      <c r="D134" s="39">
        <v>2016</v>
      </c>
      <c r="E134" s="40"/>
      <c r="F134" s="41" t="s">
        <v>286</v>
      </c>
    </row>
    <row r="135" spans="1:10">
      <c r="A135" s="240" t="s">
        <v>5088</v>
      </c>
      <c r="D135" s="243">
        <f>SUM(D136:D161)</f>
        <v>83059</v>
      </c>
      <c r="E135" s="40"/>
      <c r="F135" s="40"/>
    </row>
    <row r="136" spans="1:10">
      <c r="A136" s="239">
        <v>1</v>
      </c>
      <c r="B136" s="240" t="s">
        <v>5089</v>
      </c>
      <c r="C136" s="1" t="s">
        <v>5090</v>
      </c>
      <c r="D136" s="7">
        <v>3893</v>
      </c>
      <c r="E136" s="40"/>
      <c r="F136" s="240" t="s">
        <v>4959</v>
      </c>
      <c r="H136" s="1"/>
      <c r="J136" s="1"/>
    </row>
    <row r="137" spans="1:10">
      <c r="A137" s="239">
        <v>2</v>
      </c>
      <c r="B137" s="240" t="s">
        <v>5091</v>
      </c>
      <c r="C137" s="1" t="s">
        <v>5092</v>
      </c>
      <c r="D137" s="7">
        <v>3884</v>
      </c>
      <c r="E137" s="40"/>
      <c r="F137" s="240" t="s">
        <v>4959</v>
      </c>
      <c r="H137" s="1"/>
      <c r="J137" s="1"/>
    </row>
    <row r="138" spans="1:10">
      <c r="A138" s="239">
        <v>3</v>
      </c>
      <c r="B138" s="240" t="s">
        <v>5093</v>
      </c>
      <c r="C138" s="1" t="s">
        <v>5094</v>
      </c>
      <c r="D138" s="7">
        <v>4009</v>
      </c>
      <c r="E138" s="40"/>
      <c r="F138" s="240" t="s">
        <v>4959</v>
      </c>
      <c r="H138" s="1"/>
      <c r="J138" s="1"/>
    </row>
    <row r="139" spans="1:10">
      <c r="A139" s="239">
        <v>4</v>
      </c>
      <c r="B139" s="240" t="s">
        <v>5095</v>
      </c>
      <c r="C139" s="1" t="s">
        <v>5096</v>
      </c>
      <c r="D139" s="7">
        <v>6592</v>
      </c>
      <c r="E139" s="40"/>
      <c r="F139" s="240" t="s">
        <v>4959</v>
      </c>
      <c r="H139" s="1"/>
      <c r="J139" s="1"/>
    </row>
    <row r="140" spans="1:10">
      <c r="A140" s="239">
        <v>5</v>
      </c>
      <c r="B140" s="240" t="s">
        <v>2839</v>
      </c>
      <c r="C140" s="1" t="s">
        <v>5097</v>
      </c>
      <c r="D140" s="7">
        <v>3889</v>
      </c>
      <c r="E140" s="40"/>
      <c r="F140" s="240" t="s">
        <v>4959</v>
      </c>
      <c r="H140" s="1"/>
      <c r="J140" s="1"/>
    </row>
    <row r="141" spans="1:10">
      <c r="A141" s="239">
        <v>6</v>
      </c>
      <c r="B141" s="240" t="s">
        <v>5098</v>
      </c>
      <c r="C141" s="1" t="s">
        <v>5099</v>
      </c>
      <c r="D141" s="7">
        <v>4215</v>
      </c>
      <c r="E141" s="40"/>
      <c r="F141" s="240" t="s">
        <v>4959</v>
      </c>
      <c r="H141" s="1"/>
      <c r="J141" s="1"/>
    </row>
    <row r="142" spans="1:10">
      <c r="A142" s="239">
        <v>7</v>
      </c>
      <c r="B142" s="21" t="s">
        <v>5100</v>
      </c>
      <c r="C142" s="1" t="s">
        <v>5101</v>
      </c>
      <c r="D142" s="7">
        <v>4140</v>
      </c>
      <c r="E142" s="40"/>
      <c r="F142" s="240" t="s">
        <v>4959</v>
      </c>
      <c r="H142" s="1"/>
      <c r="J142" s="1"/>
    </row>
    <row r="143" spans="1:10">
      <c r="A143" s="239">
        <v>8</v>
      </c>
      <c r="B143" s="240" t="s">
        <v>5102</v>
      </c>
      <c r="C143" s="1" t="s">
        <v>5103</v>
      </c>
      <c r="D143" s="7">
        <v>4269</v>
      </c>
      <c r="E143" s="40"/>
      <c r="F143" s="240" t="s">
        <v>4951</v>
      </c>
      <c r="H143" s="1"/>
      <c r="J143" s="1"/>
    </row>
    <row r="144" spans="1:10">
      <c r="A144" s="239">
        <v>9</v>
      </c>
      <c r="B144" s="240" t="s">
        <v>5104</v>
      </c>
      <c r="C144" s="1" t="s">
        <v>5105</v>
      </c>
      <c r="D144" s="7">
        <v>5417</v>
      </c>
      <c r="E144" s="40"/>
      <c r="F144" s="240" t="s">
        <v>4959</v>
      </c>
      <c r="H144" s="1"/>
      <c r="J144" s="1"/>
    </row>
    <row r="145" spans="1:10">
      <c r="A145" s="239">
        <v>10</v>
      </c>
      <c r="B145" s="240" t="s">
        <v>5106</v>
      </c>
      <c r="C145" s="1" t="s">
        <v>5107</v>
      </c>
      <c r="D145" s="7">
        <v>1875</v>
      </c>
      <c r="E145" s="40"/>
      <c r="F145" s="240" t="s">
        <v>4951</v>
      </c>
      <c r="H145" s="1"/>
      <c r="J145" s="1"/>
    </row>
    <row r="146" spans="1:10">
      <c r="A146" s="239">
        <v>11</v>
      </c>
      <c r="B146" s="240" t="s">
        <v>5108</v>
      </c>
      <c r="C146" s="1" t="s">
        <v>5109</v>
      </c>
      <c r="D146" s="7">
        <v>1736</v>
      </c>
      <c r="E146" s="40"/>
      <c r="F146" s="240" t="s">
        <v>4959</v>
      </c>
      <c r="H146" s="1"/>
      <c r="J146" s="1"/>
    </row>
    <row r="147" spans="1:10">
      <c r="A147" s="239">
        <v>12</v>
      </c>
      <c r="B147" s="240" t="s">
        <v>5110</v>
      </c>
      <c r="C147" s="1" t="s">
        <v>5111</v>
      </c>
      <c r="D147" s="7">
        <v>4142</v>
      </c>
      <c r="E147" s="40"/>
      <c r="F147" s="240" t="s">
        <v>4959</v>
      </c>
      <c r="H147" s="1"/>
      <c r="J147" s="1"/>
    </row>
    <row r="148" spans="1:10">
      <c r="A148" s="239">
        <v>13</v>
      </c>
      <c r="B148" s="240" t="s">
        <v>5112</v>
      </c>
      <c r="C148" s="1" t="s">
        <v>5113</v>
      </c>
      <c r="D148" s="7">
        <v>1809</v>
      </c>
      <c r="E148" s="40"/>
      <c r="F148" s="240" t="s">
        <v>4956</v>
      </c>
      <c r="H148" s="1"/>
      <c r="J148" s="1"/>
    </row>
    <row r="149" spans="1:10">
      <c r="A149" s="239">
        <v>14</v>
      </c>
      <c r="B149" s="240" t="s">
        <v>5114</v>
      </c>
      <c r="C149" s="1" t="s">
        <v>5115</v>
      </c>
      <c r="D149" s="7">
        <v>2195</v>
      </c>
      <c r="E149" s="40"/>
      <c r="F149" s="240" t="s">
        <v>4956</v>
      </c>
      <c r="H149" s="1"/>
      <c r="J149" s="1"/>
    </row>
    <row r="150" spans="1:10">
      <c r="A150" s="239">
        <v>15</v>
      </c>
      <c r="B150" s="240" t="s">
        <v>5116</v>
      </c>
      <c r="C150" s="1" t="s">
        <v>5117</v>
      </c>
      <c r="D150" s="8">
        <v>3702</v>
      </c>
      <c r="E150" s="40"/>
      <c r="F150" s="240" t="s">
        <v>4956</v>
      </c>
      <c r="H150" s="1"/>
      <c r="J150" s="1"/>
    </row>
    <row r="151" spans="1:10">
      <c r="A151" s="239">
        <v>16</v>
      </c>
      <c r="B151" s="240" t="s">
        <v>5118</v>
      </c>
      <c r="C151" s="1" t="s">
        <v>5119</v>
      </c>
      <c r="D151" s="8">
        <v>1854</v>
      </c>
      <c r="E151" s="40"/>
      <c r="F151" s="240" t="s">
        <v>4956</v>
      </c>
      <c r="H151" s="1"/>
      <c r="J151" s="1"/>
    </row>
    <row r="152" spans="1:10">
      <c r="A152" s="239">
        <v>17</v>
      </c>
      <c r="B152" s="240" t="s">
        <v>5120</v>
      </c>
      <c r="C152" s="1" t="s">
        <v>5121</v>
      </c>
      <c r="D152" s="8">
        <v>1919</v>
      </c>
      <c r="E152" s="40"/>
      <c r="F152" s="240" t="s">
        <v>4956</v>
      </c>
      <c r="H152" s="1"/>
      <c r="J152" s="1"/>
    </row>
    <row r="153" spans="1:10">
      <c r="A153" s="239">
        <v>18</v>
      </c>
      <c r="B153" s="240" t="s">
        <v>5122</v>
      </c>
      <c r="C153" s="1" t="s">
        <v>5123</v>
      </c>
      <c r="D153" s="8">
        <v>1861</v>
      </c>
      <c r="E153" s="40"/>
      <c r="F153" s="240" t="s">
        <v>4959</v>
      </c>
      <c r="H153" s="1"/>
      <c r="J153" s="1"/>
    </row>
    <row r="154" spans="1:10">
      <c r="A154" s="239">
        <v>19</v>
      </c>
      <c r="B154" s="240" t="s">
        <v>5124</v>
      </c>
      <c r="C154" s="1" t="s">
        <v>5125</v>
      </c>
      <c r="D154" s="8">
        <v>4329</v>
      </c>
      <c r="E154" s="40"/>
      <c r="F154" s="240" t="s">
        <v>4959</v>
      </c>
      <c r="H154" s="1"/>
      <c r="J154" s="1"/>
    </row>
    <row r="155" spans="1:10">
      <c r="A155" s="239">
        <v>20</v>
      </c>
      <c r="B155" s="240" t="s">
        <v>5126</v>
      </c>
      <c r="C155" s="1" t="s">
        <v>5127</v>
      </c>
      <c r="D155" s="7">
        <v>2818</v>
      </c>
      <c r="E155" s="40"/>
      <c r="F155" s="240" t="s">
        <v>4956</v>
      </c>
      <c r="H155" s="1"/>
      <c r="J155" s="1"/>
    </row>
    <row r="156" spans="1:10">
      <c r="A156" s="239">
        <v>21</v>
      </c>
      <c r="B156" s="240" t="s">
        <v>5128</v>
      </c>
      <c r="C156" s="1" t="s">
        <v>5129</v>
      </c>
      <c r="D156" s="8">
        <v>1789</v>
      </c>
      <c r="E156" s="40"/>
      <c r="F156" s="240" t="s">
        <v>4959</v>
      </c>
      <c r="H156" s="1"/>
      <c r="J156" s="1"/>
    </row>
    <row r="157" spans="1:10">
      <c r="A157" s="239">
        <v>22</v>
      </c>
      <c r="B157" s="240" t="s">
        <v>5130</v>
      </c>
      <c r="C157" s="1" t="s">
        <v>5131</v>
      </c>
      <c r="D157" s="8">
        <v>1929</v>
      </c>
      <c r="E157" s="40"/>
      <c r="F157" s="240" t="s">
        <v>4959</v>
      </c>
      <c r="H157" s="1"/>
      <c r="J157" s="1"/>
    </row>
    <row r="158" spans="1:10">
      <c r="A158" s="239">
        <v>23</v>
      </c>
      <c r="B158" s="240" t="s">
        <v>5132</v>
      </c>
      <c r="C158" s="1" t="s">
        <v>5133</v>
      </c>
      <c r="D158" s="8">
        <v>1817</v>
      </c>
      <c r="E158" s="40"/>
      <c r="F158" s="240" t="s">
        <v>4959</v>
      </c>
      <c r="H158" s="1"/>
      <c r="J158" s="1"/>
    </row>
    <row r="159" spans="1:10">
      <c r="A159" s="239">
        <v>24</v>
      </c>
      <c r="B159" s="240" t="s">
        <v>5134</v>
      </c>
      <c r="C159" s="1" t="s">
        <v>5135</v>
      </c>
      <c r="D159" s="8">
        <v>5296</v>
      </c>
      <c r="E159" s="40"/>
      <c r="F159" s="240" t="s">
        <v>4959</v>
      </c>
      <c r="H159" s="1"/>
      <c r="J159" s="1"/>
    </row>
    <row r="160" spans="1:10">
      <c r="A160" s="239">
        <v>25</v>
      </c>
      <c r="B160" s="240" t="s">
        <v>5136</v>
      </c>
      <c r="C160" s="1" t="s">
        <v>5137</v>
      </c>
      <c r="D160" s="8">
        <v>1793</v>
      </c>
      <c r="E160" s="40"/>
      <c r="F160" s="240" t="s">
        <v>4959</v>
      </c>
      <c r="H160" s="1"/>
      <c r="J160" s="1"/>
    </row>
    <row r="161" spans="1:10">
      <c r="A161" s="239">
        <v>26</v>
      </c>
      <c r="B161" s="240" t="s">
        <v>5138</v>
      </c>
      <c r="C161" s="1" t="s">
        <v>5139</v>
      </c>
      <c r="D161" s="246">
        <v>1887</v>
      </c>
      <c r="E161" s="40"/>
      <c r="F161" s="240" t="s">
        <v>4956</v>
      </c>
      <c r="H161" s="1"/>
      <c r="J161" s="1"/>
    </row>
    <row r="162" spans="1:10">
      <c r="A162" s="40"/>
      <c r="B162" s="240"/>
      <c r="E162" s="40"/>
      <c r="F162" s="40"/>
    </row>
    <row r="163" spans="1:10">
      <c r="A163" s="240" t="s">
        <v>4990</v>
      </c>
      <c r="B163" s="240"/>
      <c r="D163" s="253">
        <f>D143+D145</f>
        <v>6144</v>
      </c>
      <c r="E163" s="40"/>
      <c r="F163" s="40"/>
    </row>
    <row r="164" spans="1:10">
      <c r="A164" s="240" t="s">
        <v>5086</v>
      </c>
      <c r="D164" s="243">
        <f>SUM(D148:D152)+D155+D161</f>
        <v>16184</v>
      </c>
      <c r="E164" s="40"/>
      <c r="F164" s="40"/>
    </row>
    <row r="165" spans="1:10">
      <c r="A165" s="240" t="s">
        <v>5140</v>
      </c>
      <c r="D165" s="243">
        <f>SUM(D136:D142)+D144+D146+D147+D153+D154+SUM(D156:D160)</f>
        <v>60731</v>
      </c>
      <c r="E165" s="40"/>
      <c r="F165" s="40"/>
    </row>
    <row r="166" spans="1:10">
      <c r="A166" s="240"/>
      <c r="B166" s="240"/>
      <c r="D166" s="250"/>
      <c r="E166" s="40"/>
      <c r="F166" s="40"/>
    </row>
    <row r="167" spans="1:10">
      <c r="A167" s="240" t="s">
        <v>5141</v>
      </c>
      <c r="B167" s="240"/>
      <c r="D167" s="250"/>
      <c r="E167" s="40"/>
      <c r="F167" s="40"/>
    </row>
    <row r="168" spans="1:10">
      <c r="A168" s="240"/>
      <c r="B168" s="240"/>
      <c r="D168" s="250"/>
      <c r="E168" s="40"/>
      <c r="F168" s="40"/>
    </row>
    <row r="169" spans="1:10">
      <c r="A169" s="240"/>
      <c r="B169" s="240"/>
      <c r="D169" s="250"/>
      <c r="E169" s="40"/>
      <c r="F169" s="40"/>
    </row>
    <row r="170" spans="1:10">
      <c r="A170" s="40"/>
      <c r="B170" s="40"/>
      <c r="D170" s="10" t="s">
        <v>285</v>
      </c>
      <c r="E170" s="249"/>
      <c r="F170" s="38" t="s">
        <v>4116</v>
      </c>
    </row>
    <row r="171" spans="1:10">
      <c r="A171" s="40"/>
      <c r="B171" s="40"/>
      <c r="D171" s="39">
        <v>2016</v>
      </c>
      <c r="E171" s="40"/>
      <c r="F171" s="41" t="s">
        <v>286</v>
      </c>
    </row>
    <row r="172" spans="1:10">
      <c r="A172" s="240" t="s">
        <v>5142</v>
      </c>
      <c r="D172" s="243">
        <f t="shared" ref="D172" si="29">SUM(D173:D190)</f>
        <v>63636</v>
      </c>
      <c r="E172" s="40"/>
      <c r="F172" s="40"/>
    </row>
    <row r="173" spans="1:10">
      <c r="A173" s="239">
        <v>1</v>
      </c>
      <c r="B173" s="240" t="s">
        <v>5143</v>
      </c>
      <c r="C173" s="1" t="s">
        <v>5144</v>
      </c>
      <c r="D173" s="7">
        <v>4596</v>
      </c>
      <c r="E173" s="40"/>
      <c r="F173" s="240" t="s">
        <v>4960</v>
      </c>
      <c r="H173" s="1"/>
      <c r="J173" s="1"/>
    </row>
    <row r="174" spans="1:10">
      <c r="A174" s="239">
        <v>2</v>
      </c>
      <c r="B174" s="240" t="s">
        <v>5145</v>
      </c>
      <c r="C174" s="1" t="s">
        <v>5146</v>
      </c>
      <c r="D174" s="7">
        <v>5503</v>
      </c>
      <c r="E174" s="40"/>
      <c r="F174" s="240" t="s">
        <v>4960</v>
      </c>
      <c r="H174" s="1"/>
      <c r="J174" s="1"/>
    </row>
    <row r="175" spans="1:10">
      <c r="A175" s="239">
        <v>3</v>
      </c>
      <c r="B175" s="240" t="s">
        <v>5147</v>
      </c>
      <c r="C175" s="1" t="s">
        <v>5148</v>
      </c>
      <c r="D175" s="7">
        <v>1745</v>
      </c>
      <c r="E175" s="40"/>
      <c r="F175" s="240" t="s">
        <v>4960</v>
      </c>
      <c r="H175" s="1"/>
      <c r="J175" s="1"/>
    </row>
    <row r="176" spans="1:10">
      <c r="A176" s="239">
        <v>4</v>
      </c>
      <c r="B176" s="240" t="s">
        <v>5149</v>
      </c>
      <c r="C176" s="1" t="s">
        <v>5150</v>
      </c>
      <c r="D176" s="7">
        <v>1828</v>
      </c>
      <c r="E176" s="40"/>
      <c r="F176" s="240" t="s">
        <v>4960</v>
      </c>
      <c r="H176" s="1"/>
      <c r="J176" s="1"/>
    </row>
    <row r="177" spans="1:10">
      <c r="A177" s="239">
        <v>5</v>
      </c>
      <c r="B177" s="240" t="s">
        <v>5151</v>
      </c>
      <c r="C177" s="1" t="s">
        <v>5152</v>
      </c>
      <c r="D177" s="7">
        <v>1679</v>
      </c>
      <c r="E177" s="40"/>
      <c r="F177" s="240" t="s">
        <v>4960</v>
      </c>
      <c r="H177" s="1"/>
      <c r="J177" s="1"/>
    </row>
    <row r="178" spans="1:10">
      <c r="A178" s="239">
        <v>6</v>
      </c>
      <c r="B178" s="240" t="s">
        <v>5153</v>
      </c>
      <c r="C178" s="1" t="s">
        <v>5154</v>
      </c>
      <c r="D178" s="7">
        <v>5480</v>
      </c>
      <c r="E178" s="40"/>
      <c r="F178" s="240" t="s">
        <v>4960</v>
      </c>
      <c r="H178" s="1"/>
      <c r="J178" s="1"/>
    </row>
    <row r="179" spans="1:10">
      <c r="A179" s="239">
        <v>7</v>
      </c>
      <c r="B179" s="240" t="s">
        <v>5155</v>
      </c>
      <c r="C179" s="1" t="s">
        <v>5156</v>
      </c>
      <c r="D179" s="7">
        <v>5831</v>
      </c>
      <c r="E179" s="40"/>
      <c r="F179" s="240" t="s">
        <v>4960</v>
      </c>
      <c r="H179" s="1"/>
      <c r="J179" s="1"/>
    </row>
    <row r="180" spans="1:10">
      <c r="A180" s="239">
        <v>8</v>
      </c>
      <c r="B180" s="240" t="s">
        <v>5157</v>
      </c>
      <c r="C180" s="1" t="s">
        <v>5158</v>
      </c>
      <c r="D180" s="7">
        <v>5232</v>
      </c>
      <c r="E180" s="40"/>
      <c r="F180" s="240" t="s">
        <v>4960</v>
      </c>
      <c r="H180" s="1"/>
      <c r="J180" s="1"/>
    </row>
    <row r="181" spans="1:10">
      <c r="A181" s="239">
        <v>9</v>
      </c>
      <c r="B181" s="240" t="s">
        <v>5159</v>
      </c>
      <c r="C181" s="1" t="s">
        <v>5160</v>
      </c>
      <c r="D181" s="7">
        <v>5193</v>
      </c>
      <c r="E181" s="40"/>
      <c r="F181" s="240" t="s">
        <v>4960</v>
      </c>
      <c r="H181" s="1"/>
      <c r="J181" s="1"/>
    </row>
    <row r="182" spans="1:10">
      <c r="A182" s="239">
        <v>10</v>
      </c>
      <c r="B182" s="240" t="s">
        <v>5161</v>
      </c>
      <c r="C182" s="1" t="s">
        <v>5162</v>
      </c>
      <c r="D182" s="7">
        <v>1547</v>
      </c>
      <c r="E182" s="40"/>
      <c r="F182" s="240" t="s">
        <v>4960</v>
      </c>
      <c r="H182" s="1"/>
      <c r="J182" s="1"/>
    </row>
    <row r="183" spans="1:10">
      <c r="A183" s="239">
        <v>11</v>
      </c>
      <c r="B183" s="240" t="s">
        <v>5163</v>
      </c>
      <c r="C183" s="1" t="s">
        <v>5164</v>
      </c>
      <c r="D183" s="7">
        <v>3406</v>
      </c>
      <c r="E183" s="40"/>
      <c r="F183" s="240" t="s">
        <v>4960</v>
      </c>
      <c r="H183" s="1"/>
      <c r="J183" s="1"/>
    </row>
    <row r="184" spans="1:10">
      <c r="A184" s="239">
        <v>12</v>
      </c>
      <c r="B184" s="240" t="s">
        <v>5165</v>
      </c>
      <c r="C184" s="1" t="s">
        <v>5166</v>
      </c>
      <c r="D184" s="7">
        <v>3362</v>
      </c>
      <c r="E184" s="40"/>
      <c r="F184" s="240" t="s">
        <v>4960</v>
      </c>
      <c r="H184" s="1"/>
      <c r="J184" s="1"/>
    </row>
    <row r="185" spans="1:10">
      <c r="A185" s="239">
        <v>13</v>
      </c>
      <c r="B185" s="240" t="s">
        <v>5167</v>
      </c>
      <c r="C185" s="1" t="s">
        <v>5168</v>
      </c>
      <c r="D185" s="7">
        <v>3226</v>
      </c>
      <c r="E185" s="40"/>
      <c r="F185" s="240" t="s">
        <v>4960</v>
      </c>
      <c r="H185" s="1"/>
      <c r="J185" s="1"/>
    </row>
    <row r="186" spans="1:10">
      <c r="A186" s="239">
        <v>14</v>
      </c>
      <c r="B186" s="240" t="s">
        <v>5169</v>
      </c>
      <c r="C186" s="1" t="s">
        <v>5170</v>
      </c>
      <c r="D186" s="7">
        <v>2990</v>
      </c>
      <c r="E186" s="40"/>
      <c r="F186" s="240" t="s">
        <v>4960</v>
      </c>
      <c r="H186" s="1"/>
      <c r="J186" s="1"/>
    </row>
    <row r="187" spans="1:10">
      <c r="A187" s="239">
        <v>15</v>
      </c>
      <c r="B187" s="240" t="s">
        <v>5171</v>
      </c>
      <c r="C187" s="1" t="s">
        <v>5172</v>
      </c>
      <c r="D187" s="7">
        <v>3502</v>
      </c>
      <c r="E187" s="40"/>
      <c r="F187" s="240" t="s">
        <v>4960</v>
      </c>
      <c r="H187" s="1"/>
      <c r="J187" s="1"/>
    </row>
    <row r="188" spans="1:10">
      <c r="A188" s="239">
        <v>16</v>
      </c>
      <c r="B188" s="240" t="s">
        <v>5173</v>
      </c>
      <c r="C188" s="1" t="s">
        <v>5174</v>
      </c>
      <c r="D188" s="8">
        <v>3173</v>
      </c>
      <c r="E188" s="40"/>
      <c r="F188" s="240" t="s">
        <v>4960</v>
      </c>
      <c r="H188" s="1"/>
      <c r="J188" s="1"/>
    </row>
    <row r="189" spans="1:10">
      <c r="A189" s="239">
        <v>17</v>
      </c>
      <c r="B189" s="240" t="s">
        <v>5175</v>
      </c>
      <c r="C189" s="1" t="s">
        <v>5176</v>
      </c>
      <c r="D189" s="8">
        <v>1975</v>
      </c>
      <c r="E189" s="40"/>
      <c r="F189" s="240" t="s">
        <v>4960</v>
      </c>
      <c r="H189" s="1"/>
      <c r="J189" s="1"/>
    </row>
    <row r="190" spans="1:10">
      <c r="A190" s="239">
        <v>18</v>
      </c>
      <c r="B190" s="240" t="s">
        <v>5177</v>
      </c>
      <c r="C190" s="1" t="s">
        <v>5178</v>
      </c>
      <c r="D190" s="8">
        <v>3368</v>
      </c>
      <c r="E190" s="40"/>
      <c r="F190" s="240" t="s">
        <v>4960</v>
      </c>
      <c r="H190" s="1"/>
      <c r="J190" s="1"/>
    </row>
    <row r="191" spans="1:10">
      <c r="A191" s="40"/>
      <c r="B191" s="40"/>
      <c r="C191" s="40"/>
      <c r="D191" s="243"/>
      <c r="E191" s="40"/>
      <c r="F191" s="240"/>
    </row>
    <row r="192" spans="1:10">
      <c r="A192" s="240" t="s">
        <v>5179</v>
      </c>
      <c r="C192" s="40"/>
      <c r="D192" s="243">
        <f t="shared" ref="D192" si="30">SUM(D173:D190)</f>
        <v>63636</v>
      </c>
      <c r="E192" s="40"/>
      <c r="F192" s="240"/>
    </row>
    <row r="193" spans="1:9">
      <c r="A193" s="240"/>
      <c r="C193" s="40"/>
      <c r="D193" s="243"/>
      <c r="E193" s="40"/>
      <c r="F193" s="240"/>
    </row>
    <row r="194" spans="1:9">
      <c r="A194" s="240" t="s">
        <v>5180</v>
      </c>
      <c r="B194" s="240"/>
      <c r="C194" s="240"/>
      <c r="D194" s="243"/>
      <c r="E194" s="40"/>
      <c r="F194" s="240"/>
    </row>
    <row r="195" spans="1:9">
      <c r="A195" s="40"/>
      <c r="B195" s="40"/>
      <c r="D195" s="244"/>
      <c r="E195" s="40"/>
      <c r="F195" s="40"/>
    </row>
    <row r="196" spans="1:9">
      <c r="A196" s="240"/>
      <c r="B196" s="240"/>
      <c r="D196" s="250"/>
      <c r="E196" s="40"/>
      <c r="F196" s="40"/>
    </row>
    <row r="197" spans="1:9">
      <c r="A197" s="40"/>
      <c r="B197" s="40"/>
      <c r="D197" s="10" t="s">
        <v>285</v>
      </c>
      <c r="E197" s="249"/>
      <c r="F197" s="38" t="s">
        <v>4116</v>
      </c>
    </row>
    <row r="198" spans="1:9">
      <c r="A198" s="40"/>
      <c r="B198" s="40"/>
      <c r="D198" s="39">
        <v>2016</v>
      </c>
      <c r="E198" s="40"/>
      <c r="F198" s="41" t="s">
        <v>286</v>
      </c>
    </row>
    <row r="199" spans="1:9">
      <c r="A199" s="240" t="s">
        <v>5181</v>
      </c>
      <c r="D199" s="243">
        <f>SUM(D200:D229)</f>
        <v>101682</v>
      </c>
      <c r="E199" s="40"/>
      <c r="F199" s="40"/>
    </row>
    <row r="200" spans="1:9">
      <c r="A200" s="239">
        <v>1</v>
      </c>
      <c r="B200" s="240" t="s">
        <v>5182</v>
      </c>
      <c r="C200" s="1" t="s">
        <v>5183</v>
      </c>
      <c r="D200" s="7">
        <v>1994</v>
      </c>
      <c r="E200" s="40"/>
      <c r="F200" s="240" t="s">
        <v>4955</v>
      </c>
      <c r="G200" s="1"/>
      <c r="I200" s="1"/>
    </row>
    <row r="201" spans="1:9">
      <c r="A201" s="239">
        <v>2</v>
      </c>
      <c r="B201" s="240" t="s">
        <v>5184</v>
      </c>
      <c r="C201" s="1" t="s">
        <v>5185</v>
      </c>
      <c r="D201" s="7">
        <v>3392</v>
      </c>
      <c r="E201" s="40"/>
      <c r="F201" s="240" t="s">
        <v>4955</v>
      </c>
      <c r="G201" s="1"/>
      <c r="I201" s="1"/>
    </row>
    <row r="202" spans="1:9">
      <c r="A202" s="239">
        <v>3</v>
      </c>
      <c r="B202" s="240" t="s">
        <v>5186</v>
      </c>
      <c r="C202" s="1" t="s">
        <v>5187</v>
      </c>
      <c r="D202" s="8">
        <v>3896</v>
      </c>
      <c r="E202" s="40"/>
      <c r="F202" s="240" t="s">
        <v>4959</v>
      </c>
      <c r="G202" s="1"/>
      <c r="I202" s="1"/>
    </row>
    <row r="203" spans="1:9">
      <c r="A203" s="239">
        <v>4</v>
      </c>
      <c r="B203" s="240" t="s">
        <v>5188</v>
      </c>
      <c r="C203" s="1" t="s">
        <v>5189</v>
      </c>
      <c r="D203" s="7">
        <v>4430</v>
      </c>
      <c r="E203" s="40"/>
      <c r="F203" s="240" t="s">
        <v>4955</v>
      </c>
      <c r="G203" s="1"/>
      <c r="I203" s="1"/>
    </row>
    <row r="204" spans="1:9">
      <c r="A204" s="239">
        <v>5</v>
      </c>
      <c r="B204" s="240" t="s">
        <v>5190</v>
      </c>
      <c r="C204" s="1" t="s">
        <v>5191</v>
      </c>
      <c r="D204" s="7">
        <v>3415</v>
      </c>
      <c r="E204" s="40"/>
      <c r="F204" s="240" t="s">
        <v>4955</v>
      </c>
      <c r="G204" s="1"/>
      <c r="I204" s="1"/>
    </row>
    <row r="205" spans="1:9">
      <c r="A205" s="239">
        <v>6</v>
      </c>
      <c r="B205" s="240" t="s">
        <v>5192</v>
      </c>
      <c r="C205" s="1" t="s">
        <v>5193</v>
      </c>
      <c r="D205" s="7">
        <v>3987</v>
      </c>
      <c r="E205" s="40"/>
      <c r="F205" s="240" t="s">
        <v>4955</v>
      </c>
      <c r="G205" s="1"/>
      <c r="I205" s="1"/>
    </row>
    <row r="206" spans="1:9">
      <c r="A206" s="239">
        <v>7</v>
      </c>
      <c r="B206" s="242" t="s">
        <v>5194</v>
      </c>
      <c r="C206" s="1" t="s">
        <v>5195</v>
      </c>
      <c r="D206" s="7">
        <v>4059</v>
      </c>
      <c r="E206" s="40"/>
      <c r="F206" s="240" t="s">
        <v>4955</v>
      </c>
      <c r="G206" s="1"/>
      <c r="I206" s="1"/>
    </row>
    <row r="207" spans="1:9">
      <c r="A207" s="239">
        <v>8</v>
      </c>
      <c r="B207" s="240" t="s">
        <v>883</v>
      </c>
      <c r="C207" s="1" t="s">
        <v>5196</v>
      </c>
      <c r="D207" s="7">
        <v>1913</v>
      </c>
      <c r="E207" s="40"/>
      <c r="F207" s="240" t="s">
        <v>4955</v>
      </c>
      <c r="G207" s="1"/>
      <c r="I207" s="1"/>
    </row>
    <row r="208" spans="1:9">
      <c r="A208" s="239">
        <v>9</v>
      </c>
      <c r="B208" s="240" t="s">
        <v>5197</v>
      </c>
      <c r="C208" s="1" t="s">
        <v>5198</v>
      </c>
      <c r="D208" s="8">
        <v>5561</v>
      </c>
      <c r="E208" s="40"/>
      <c r="F208" s="240" t="s">
        <v>4960</v>
      </c>
      <c r="G208" s="1"/>
      <c r="I208" s="1"/>
    </row>
    <row r="209" spans="1:9">
      <c r="A209" s="239">
        <v>10</v>
      </c>
      <c r="B209" s="240" t="s">
        <v>5199</v>
      </c>
      <c r="C209" s="1" t="s">
        <v>5200</v>
      </c>
      <c r="D209" s="7">
        <v>1938</v>
      </c>
      <c r="E209" s="40"/>
      <c r="F209" s="240" t="s">
        <v>4955</v>
      </c>
      <c r="G209" s="1"/>
      <c r="I209" s="1"/>
    </row>
    <row r="210" spans="1:9">
      <c r="A210" s="239">
        <v>11</v>
      </c>
      <c r="B210" s="240" t="s">
        <v>4739</v>
      </c>
      <c r="C210" s="1" t="s">
        <v>5201</v>
      </c>
      <c r="D210" s="7">
        <v>1847</v>
      </c>
      <c r="E210" s="40"/>
      <c r="F210" s="240" t="s">
        <v>4955</v>
      </c>
      <c r="G210" s="1"/>
      <c r="I210" s="1"/>
    </row>
    <row r="211" spans="1:9">
      <c r="A211" s="239">
        <v>12</v>
      </c>
      <c r="B211" s="240" t="s">
        <v>5202</v>
      </c>
      <c r="C211" s="1" t="s">
        <v>5203</v>
      </c>
      <c r="D211" s="7">
        <v>3363</v>
      </c>
      <c r="E211" s="40"/>
      <c r="F211" s="240" t="s">
        <v>4955</v>
      </c>
      <c r="G211" s="1"/>
      <c r="I211" s="1"/>
    </row>
    <row r="212" spans="1:9">
      <c r="A212" s="239">
        <v>13</v>
      </c>
      <c r="B212" s="240" t="s">
        <v>5204</v>
      </c>
      <c r="C212" s="1" t="s">
        <v>5205</v>
      </c>
      <c r="D212" s="7">
        <v>3807</v>
      </c>
      <c r="E212" s="40"/>
      <c r="F212" s="240" t="s">
        <v>4955</v>
      </c>
      <c r="G212" s="1"/>
      <c r="I212" s="1"/>
    </row>
    <row r="213" spans="1:9">
      <c r="A213" s="239">
        <v>14</v>
      </c>
      <c r="B213" s="240" t="s">
        <v>5206</v>
      </c>
      <c r="C213" s="1" t="s">
        <v>5207</v>
      </c>
      <c r="D213" s="7">
        <v>3393</v>
      </c>
      <c r="E213" s="40"/>
      <c r="F213" s="240" t="s">
        <v>4955</v>
      </c>
      <c r="G213" s="1"/>
      <c r="I213" s="1"/>
    </row>
    <row r="214" spans="1:9">
      <c r="A214" s="239">
        <v>15</v>
      </c>
      <c r="B214" s="240" t="s">
        <v>5208</v>
      </c>
      <c r="C214" s="1" t="s">
        <v>5209</v>
      </c>
      <c r="D214" s="7">
        <v>3534</v>
      </c>
      <c r="E214" s="40"/>
      <c r="F214" s="240" t="s">
        <v>4955</v>
      </c>
      <c r="G214" s="1"/>
      <c r="I214" s="1"/>
    </row>
    <row r="215" spans="1:9">
      <c r="A215" s="239">
        <v>16</v>
      </c>
      <c r="B215" s="240" t="s">
        <v>5210</v>
      </c>
      <c r="C215" s="1" t="s">
        <v>5211</v>
      </c>
      <c r="D215" s="8">
        <v>4560</v>
      </c>
      <c r="E215" s="40"/>
      <c r="F215" s="240" t="s">
        <v>4955</v>
      </c>
      <c r="G215" s="1"/>
      <c r="I215" s="1"/>
    </row>
    <row r="216" spans="1:9">
      <c r="A216" s="239">
        <v>17</v>
      </c>
      <c r="B216" s="240" t="s">
        <v>5212</v>
      </c>
      <c r="C216" s="1" t="s">
        <v>5213</v>
      </c>
      <c r="D216" s="8">
        <v>3928</v>
      </c>
      <c r="E216" s="40"/>
      <c r="F216" s="240" t="s">
        <v>4955</v>
      </c>
      <c r="G216" s="1"/>
      <c r="I216" s="1"/>
    </row>
    <row r="217" spans="1:9">
      <c r="A217" s="239">
        <v>18</v>
      </c>
      <c r="B217" s="242" t="s">
        <v>5214</v>
      </c>
      <c r="C217" s="1" t="s">
        <v>5215</v>
      </c>
      <c r="D217" s="7">
        <v>3247</v>
      </c>
      <c r="E217" s="40"/>
      <c r="F217" s="240" t="s">
        <v>4955</v>
      </c>
      <c r="G217" s="1"/>
      <c r="I217" s="1"/>
    </row>
    <row r="218" spans="1:9">
      <c r="A218" s="239">
        <v>19</v>
      </c>
      <c r="B218" s="240" t="s">
        <v>5216</v>
      </c>
      <c r="C218" s="1" t="s">
        <v>5217</v>
      </c>
      <c r="D218" s="8">
        <v>3672</v>
      </c>
      <c r="E218" s="40"/>
      <c r="F218" s="240" t="s">
        <v>4955</v>
      </c>
      <c r="G218" s="1"/>
      <c r="I218" s="1"/>
    </row>
    <row r="219" spans="1:9">
      <c r="A219" s="239">
        <v>20</v>
      </c>
      <c r="B219" s="240" t="s">
        <v>5218</v>
      </c>
      <c r="C219" s="1" t="s">
        <v>5219</v>
      </c>
      <c r="D219" s="8">
        <v>1942</v>
      </c>
      <c r="E219" s="40"/>
      <c r="F219" s="240" t="s">
        <v>4955</v>
      </c>
      <c r="G219" s="1"/>
      <c r="I219" s="1"/>
    </row>
    <row r="220" spans="1:9">
      <c r="A220" s="239">
        <v>21</v>
      </c>
      <c r="B220" s="240" t="s">
        <v>5220</v>
      </c>
      <c r="C220" s="1" t="s">
        <v>5221</v>
      </c>
      <c r="D220" s="8">
        <v>2057</v>
      </c>
      <c r="E220" s="40"/>
      <c r="F220" s="240" t="s">
        <v>4959</v>
      </c>
      <c r="G220" s="1"/>
      <c r="I220" s="1"/>
    </row>
    <row r="221" spans="1:9">
      <c r="A221" s="239">
        <v>22</v>
      </c>
      <c r="B221" s="240" t="s">
        <v>5222</v>
      </c>
      <c r="C221" s="1" t="s">
        <v>5223</v>
      </c>
      <c r="D221" s="8">
        <v>5135</v>
      </c>
      <c r="E221" s="40"/>
      <c r="F221" s="240" t="s">
        <v>4960</v>
      </c>
      <c r="G221" s="1"/>
      <c r="I221" s="1"/>
    </row>
    <row r="222" spans="1:9">
      <c r="A222" s="239">
        <v>23</v>
      </c>
      <c r="B222" s="240" t="s">
        <v>3863</v>
      </c>
      <c r="C222" s="1" t="s">
        <v>5224</v>
      </c>
      <c r="D222" s="8">
        <v>1890</v>
      </c>
      <c r="E222" s="40"/>
      <c r="F222" s="240" t="s">
        <v>4955</v>
      </c>
      <c r="G222" s="1"/>
      <c r="I222" s="1"/>
    </row>
    <row r="223" spans="1:9">
      <c r="A223" s="239">
        <v>24</v>
      </c>
      <c r="B223" s="240" t="s">
        <v>5225</v>
      </c>
      <c r="C223" s="1" t="s">
        <v>5226</v>
      </c>
      <c r="D223" s="8">
        <v>3889</v>
      </c>
      <c r="E223" s="40"/>
      <c r="F223" s="240" t="s">
        <v>4959</v>
      </c>
      <c r="G223" s="1"/>
      <c r="I223" s="1"/>
    </row>
    <row r="224" spans="1:9">
      <c r="A224" s="239">
        <v>25</v>
      </c>
      <c r="B224" s="240" t="s">
        <v>5227</v>
      </c>
      <c r="C224" s="1" t="s">
        <v>5228</v>
      </c>
      <c r="D224" s="8">
        <v>3825</v>
      </c>
      <c r="E224" s="40"/>
      <c r="F224" s="240" t="s">
        <v>4955</v>
      </c>
      <c r="G224" s="1"/>
      <c r="I224" s="1"/>
    </row>
    <row r="225" spans="1:9">
      <c r="A225" s="239">
        <v>26</v>
      </c>
      <c r="B225" s="240" t="s">
        <v>5229</v>
      </c>
      <c r="C225" s="1" t="s">
        <v>5230</v>
      </c>
      <c r="D225" s="8">
        <v>3744</v>
      </c>
      <c r="E225" s="40"/>
      <c r="F225" s="240" t="s">
        <v>4955</v>
      </c>
      <c r="G225" s="1"/>
      <c r="I225" s="1"/>
    </row>
    <row r="226" spans="1:9">
      <c r="A226" s="239">
        <v>27</v>
      </c>
      <c r="B226" s="240" t="s">
        <v>5231</v>
      </c>
      <c r="C226" s="1" t="s">
        <v>5232</v>
      </c>
      <c r="D226" s="8">
        <v>3786</v>
      </c>
      <c r="E226" s="40"/>
      <c r="F226" s="240" t="s">
        <v>4955</v>
      </c>
      <c r="G226" s="1"/>
      <c r="I226" s="1"/>
    </row>
    <row r="227" spans="1:9">
      <c r="A227" s="239">
        <v>28</v>
      </c>
      <c r="B227" s="240" t="s">
        <v>5233</v>
      </c>
      <c r="C227" s="1" t="s">
        <v>5234</v>
      </c>
      <c r="D227" s="8">
        <v>3488</v>
      </c>
      <c r="E227" s="40"/>
      <c r="F227" s="240" t="s">
        <v>4955</v>
      </c>
      <c r="G227" s="1"/>
      <c r="I227" s="1"/>
    </row>
    <row r="228" spans="1:9">
      <c r="A228" s="239">
        <v>29</v>
      </c>
      <c r="B228" s="240" t="s">
        <v>5235</v>
      </c>
      <c r="C228" s="1" t="s">
        <v>5236</v>
      </c>
      <c r="D228" s="8">
        <v>2002</v>
      </c>
      <c r="E228" s="40"/>
      <c r="F228" s="240" t="s">
        <v>4955</v>
      </c>
      <c r="G228" s="1"/>
      <c r="I228" s="1"/>
    </row>
    <row r="229" spans="1:9">
      <c r="A229" s="239">
        <v>30</v>
      </c>
      <c r="B229" s="240" t="s">
        <v>5237</v>
      </c>
      <c r="C229" s="1" t="s">
        <v>5238</v>
      </c>
      <c r="D229" s="8">
        <v>3988</v>
      </c>
      <c r="E229" s="40"/>
      <c r="F229" s="240" t="s">
        <v>4959</v>
      </c>
      <c r="G229" s="1"/>
      <c r="I229" s="1"/>
    </row>
    <row r="230" spans="1:9">
      <c r="A230" s="40"/>
      <c r="B230" s="40"/>
      <c r="C230" s="240"/>
      <c r="D230" s="244"/>
      <c r="E230" s="40"/>
      <c r="F230" s="40"/>
    </row>
    <row r="231" spans="1:9">
      <c r="A231" s="240" t="s">
        <v>4955</v>
      </c>
      <c r="D231" s="243">
        <f>D200+D201+SUM(D203:D207)+SUM(D209:D219)+D222+SUM(D224:D228)</f>
        <v>77156</v>
      </c>
      <c r="E231" s="40"/>
      <c r="F231" s="40"/>
    </row>
    <row r="232" spans="1:9">
      <c r="A232" s="240" t="s">
        <v>5140</v>
      </c>
      <c r="D232" s="243">
        <f>D202+D220+D223+D229</f>
        <v>13830</v>
      </c>
      <c r="E232" s="40"/>
      <c r="F232" s="40"/>
    </row>
    <row r="233" spans="1:9">
      <c r="A233" s="240" t="s">
        <v>5179</v>
      </c>
      <c r="D233" s="243">
        <f>D208+D221</f>
        <v>10696</v>
      </c>
      <c r="E233" s="40"/>
      <c r="F233" s="40"/>
    </row>
    <row r="234" spans="1:9">
      <c r="A234" s="240"/>
      <c r="B234" s="240"/>
      <c r="C234" s="240"/>
      <c r="D234" s="250"/>
      <c r="E234" s="40"/>
      <c r="F234" s="40"/>
    </row>
    <row r="235" spans="1:9">
      <c r="A235" s="240" t="s">
        <v>5239</v>
      </c>
      <c r="B235" s="240"/>
      <c r="C235" s="240"/>
      <c r="D235" s="250"/>
      <c r="E235" s="40"/>
      <c r="F235" s="40"/>
    </row>
    <row r="236" spans="1:9">
      <c r="A236" s="240"/>
      <c r="B236" s="240"/>
      <c r="D236" s="250"/>
      <c r="E236" s="40"/>
      <c r="F236" s="40"/>
    </row>
    <row r="237" spans="1:9">
      <c r="A237" s="240"/>
      <c r="B237" s="240"/>
      <c r="D237" s="250"/>
      <c r="E237" s="40"/>
      <c r="F237" s="40"/>
    </row>
    <row r="238" spans="1:9">
      <c r="A238" s="40"/>
      <c r="B238" s="40"/>
      <c r="D238" s="10" t="s">
        <v>285</v>
      </c>
      <c r="E238" s="249"/>
      <c r="F238" s="38" t="s">
        <v>4116</v>
      </c>
    </row>
    <row r="239" spans="1:9">
      <c r="A239" s="40"/>
      <c r="B239" s="40"/>
      <c r="D239" s="39">
        <v>2016</v>
      </c>
      <c r="E239" s="40"/>
      <c r="F239" s="41" t="s">
        <v>286</v>
      </c>
    </row>
    <row r="240" spans="1:9">
      <c r="A240" s="240" t="s">
        <v>5240</v>
      </c>
      <c r="D240" s="243">
        <f t="shared" ref="D240" si="31">SUM(D241:D260)</f>
        <v>72401</v>
      </c>
      <c r="E240" s="40"/>
      <c r="F240" s="40"/>
    </row>
    <row r="241" spans="1:10">
      <c r="A241" s="239">
        <v>1</v>
      </c>
      <c r="B241" s="240" t="s">
        <v>5241</v>
      </c>
      <c r="C241" s="1" t="s">
        <v>5242</v>
      </c>
      <c r="D241" s="7">
        <v>2053</v>
      </c>
      <c r="E241" s="40"/>
      <c r="F241" s="240" t="s">
        <v>4954</v>
      </c>
      <c r="H241" s="1"/>
      <c r="J241" s="1"/>
    </row>
    <row r="242" spans="1:10">
      <c r="A242" s="239">
        <v>2</v>
      </c>
      <c r="B242" s="240" t="s">
        <v>5243</v>
      </c>
      <c r="C242" s="1" t="s">
        <v>5244</v>
      </c>
      <c r="D242" s="7">
        <v>4438</v>
      </c>
      <c r="E242" s="40"/>
      <c r="F242" s="240" t="s">
        <v>4954</v>
      </c>
      <c r="H242" s="1"/>
      <c r="J242" s="1"/>
    </row>
    <row r="243" spans="1:10">
      <c r="A243" s="239">
        <v>3</v>
      </c>
      <c r="B243" s="254" t="s">
        <v>5245</v>
      </c>
      <c r="C243" s="1" t="s">
        <v>5246</v>
      </c>
      <c r="D243" s="7">
        <v>6089</v>
      </c>
      <c r="E243" s="40"/>
      <c r="F243" s="240" t="s">
        <v>4954</v>
      </c>
      <c r="H243" s="1"/>
      <c r="J243" s="1"/>
    </row>
    <row r="244" spans="1:10">
      <c r="A244" s="239">
        <v>4</v>
      </c>
      <c r="B244" s="240" t="s">
        <v>5247</v>
      </c>
      <c r="C244" s="1" t="s">
        <v>5248</v>
      </c>
      <c r="D244" s="7">
        <v>6517</v>
      </c>
      <c r="E244" s="40"/>
      <c r="F244" s="240" t="s">
        <v>4954</v>
      </c>
      <c r="H244" s="1"/>
      <c r="J244" s="1"/>
    </row>
    <row r="245" spans="1:10">
      <c r="A245" s="239">
        <v>5</v>
      </c>
      <c r="B245" s="240" t="s">
        <v>5249</v>
      </c>
      <c r="C245" s="1" t="s">
        <v>5250</v>
      </c>
      <c r="D245" s="7">
        <v>5140</v>
      </c>
      <c r="E245" s="40"/>
      <c r="F245" s="240" t="s">
        <v>4954</v>
      </c>
      <c r="H245" s="1"/>
      <c r="J245" s="1"/>
    </row>
    <row r="246" spans="1:10">
      <c r="A246" s="239">
        <v>6</v>
      </c>
      <c r="B246" s="240" t="s">
        <v>5251</v>
      </c>
      <c r="C246" s="1" t="s">
        <v>5252</v>
      </c>
      <c r="D246" s="7">
        <v>5029</v>
      </c>
      <c r="E246" s="40"/>
      <c r="F246" s="240" t="s">
        <v>4954</v>
      </c>
      <c r="H246" s="1"/>
      <c r="J246" s="1"/>
    </row>
    <row r="247" spans="1:10">
      <c r="A247" s="239">
        <v>7</v>
      </c>
      <c r="B247" s="240" t="s">
        <v>5253</v>
      </c>
      <c r="C247" s="1" t="s">
        <v>5254</v>
      </c>
      <c r="D247" s="7">
        <v>3657</v>
      </c>
      <c r="E247" s="40"/>
      <c r="F247" s="240" t="s">
        <v>4954</v>
      </c>
      <c r="H247" s="1"/>
      <c r="J247" s="1"/>
    </row>
    <row r="248" spans="1:10">
      <c r="A248" s="239">
        <v>8</v>
      </c>
      <c r="B248" s="240" t="s">
        <v>5255</v>
      </c>
      <c r="C248" s="1" t="s">
        <v>5256</v>
      </c>
      <c r="D248" s="7">
        <v>2182</v>
      </c>
      <c r="E248" s="40"/>
      <c r="F248" s="240" t="s">
        <v>4954</v>
      </c>
      <c r="H248" s="1"/>
      <c r="J248" s="1"/>
    </row>
    <row r="249" spans="1:10">
      <c r="A249" s="239">
        <v>9</v>
      </c>
      <c r="B249" s="240" t="s">
        <v>5257</v>
      </c>
      <c r="C249" s="1" t="s">
        <v>5258</v>
      </c>
      <c r="D249" s="7">
        <v>2189</v>
      </c>
      <c r="E249" s="40"/>
      <c r="F249" s="240" t="s">
        <v>4954</v>
      </c>
      <c r="H249" s="1"/>
      <c r="J249" s="1"/>
    </row>
    <row r="250" spans="1:10">
      <c r="A250" s="239">
        <v>10</v>
      </c>
      <c r="B250" s="240" t="s">
        <v>5259</v>
      </c>
      <c r="C250" s="1" t="s">
        <v>5260</v>
      </c>
      <c r="D250" s="7">
        <v>1813</v>
      </c>
      <c r="E250" s="40"/>
      <c r="F250" s="240" t="s">
        <v>4954</v>
      </c>
      <c r="H250" s="1"/>
      <c r="J250" s="1"/>
    </row>
    <row r="251" spans="1:10">
      <c r="A251" s="239">
        <v>11</v>
      </c>
      <c r="B251" s="240" t="s">
        <v>5261</v>
      </c>
      <c r="C251" s="1" t="s">
        <v>5262</v>
      </c>
      <c r="D251" s="7">
        <v>6776</v>
      </c>
      <c r="E251" s="40"/>
      <c r="F251" s="240" t="s">
        <v>4954</v>
      </c>
      <c r="H251" s="1"/>
      <c r="J251" s="1"/>
    </row>
    <row r="252" spans="1:10">
      <c r="A252" s="239">
        <v>12</v>
      </c>
      <c r="B252" s="240" t="s">
        <v>5263</v>
      </c>
      <c r="C252" s="1" t="s">
        <v>5264</v>
      </c>
      <c r="D252" s="7">
        <v>3314</v>
      </c>
      <c r="E252" s="40"/>
      <c r="F252" s="240" t="s">
        <v>4954</v>
      </c>
      <c r="H252" s="1"/>
      <c r="J252" s="1"/>
    </row>
    <row r="253" spans="1:10">
      <c r="A253" s="239">
        <v>13</v>
      </c>
      <c r="B253" s="240" t="s">
        <v>5265</v>
      </c>
      <c r="C253" s="1" t="s">
        <v>5266</v>
      </c>
      <c r="D253" s="7">
        <v>4398</v>
      </c>
      <c r="E253" s="40"/>
      <c r="F253" s="240" t="s">
        <v>4954</v>
      </c>
      <c r="H253" s="1"/>
      <c r="J253" s="1"/>
    </row>
    <row r="254" spans="1:10">
      <c r="A254" s="239">
        <v>14</v>
      </c>
      <c r="B254" s="240" t="s">
        <v>5267</v>
      </c>
      <c r="C254" s="1" t="s">
        <v>5268</v>
      </c>
      <c r="D254" s="7">
        <v>2132</v>
      </c>
      <c r="E254" s="40"/>
      <c r="F254" s="240" t="s">
        <v>4954</v>
      </c>
      <c r="H254" s="1"/>
      <c r="J254" s="1"/>
    </row>
    <row r="255" spans="1:10">
      <c r="A255" s="239">
        <v>15</v>
      </c>
      <c r="B255" s="240" t="s">
        <v>5269</v>
      </c>
      <c r="C255" s="1" t="s">
        <v>5270</v>
      </c>
      <c r="D255" s="7">
        <v>6098</v>
      </c>
      <c r="E255" s="40"/>
      <c r="F255" s="240" t="s">
        <v>4954</v>
      </c>
      <c r="H255" s="1"/>
      <c r="J255" s="1"/>
    </row>
    <row r="256" spans="1:10">
      <c r="A256" s="239">
        <v>16</v>
      </c>
      <c r="B256" s="240" t="s">
        <v>302</v>
      </c>
      <c r="C256" s="1" t="s">
        <v>5271</v>
      </c>
      <c r="D256" s="8">
        <v>1963</v>
      </c>
      <c r="E256" s="40"/>
      <c r="F256" s="240" t="s">
        <v>4954</v>
      </c>
      <c r="H256" s="1"/>
      <c r="J256" s="1"/>
    </row>
    <row r="257" spans="1:10">
      <c r="A257" s="239">
        <v>17</v>
      </c>
      <c r="B257" s="240" t="s">
        <v>5272</v>
      </c>
      <c r="C257" s="1" t="s">
        <v>5273</v>
      </c>
      <c r="D257" s="8">
        <v>2150</v>
      </c>
      <c r="E257" s="40"/>
      <c r="F257" s="240" t="s">
        <v>4954</v>
      </c>
      <c r="H257" s="1"/>
      <c r="J257" s="1"/>
    </row>
    <row r="258" spans="1:10">
      <c r="A258" s="239">
        <v>18</v>
      </c>
      <c r="B258" s="240" t="s">
        <v>5274</v>
      </c>
      <c r="C258" s="1" t="s">
        <v>5275</v>
      </c>
      <c r="D258" s="8">
        <v>2372</v>
      </c>
      <c r="E258" s="40"/>
      <c r="F258" s="240" t="s">
        <v>4954</v>
      </c>
      <c r="H258" s="1"/>
      <c r="J258" s="1"/>
    </row>
    <row r="259" spans="1:10">
      <c r="A259" s="239">
        <v>19</v>
      </c>
      <c r="B259" s="240" t="s">
        <v>5276</v>
      </c>
      <c r="C259" s="1" t="s">
        <v>5277</v>
      </c>
      <c r="D259" s="8">
        <v>2002</v>
      </c>
      <c r="E259" s="40"/>
      <c r="F259" s="240" t="s">
        <v>4954</v>
      </c>
      <c r="H259" s="1"/>
      <c r="J259" s="1"/>
    </row>
    <row r="260" spans="1:10">
      <c r="A260" s="239">
        <v>20</v>
      </c>
      <c r="B260" s="240" t="s">
        <v>5278</v>
      </c>
      <c r="C260" s="1" t="s">
        <v>5279</v>
      </c>
      <c r="D260" s="8">
        <v>2089</v>
      </c>
      <c r="E260" s="40"/>
      <c r="F260" s="240" t="s">
        <v>4954</v>
      </c>
      <c r="H260" s="1"/>
      <c r="J260" s="1"/>
    </row>
    <row r="261" spans="1:10">
      <c r="A261" s="40"/>
      <c r="B261" s="40"/>
      <c r="C261" s="40"/>
      <c r="D261" s="244"/>
      <c r="E261" s="40"/>
      <c r="F261" s="40"/>
    </row>
    <row r="262" spans="1:10">
      <c r="A262" s="240" t="s">
        <v>5065</v>
      </c>
      <c r="D262" s="243">
        <f t="shared" ref="D262" si="32">SUM(D241:D260)</f>
        <v>72401</v>
      </c>
      <c r="E262" s="40"/>
      <c r="F262" s="40"/>
    </row>
    <row r="263" spans="1:10">
      <c r="A263" s="40"/>
      <c r="B263" s="40"/>
      <c r="D263" s="40"/>
      <c r="E263" s="40"/>
      <c r="F263" s="40"/>
    </row>
    <row r="264" spans="1:10">
      <c r="A264" s="40" t="s">
        <v>5280</v>
      </c>
      <c r="B264" s="40"/>
      <c r="D264" s="40"/>
      <c r="E264" s="40"/>
      <c r="F264" s="40"/>
    </row>
    <row r="265" spans="1:10">
      <c r="A265" s="40"/>
      <c r="B265" s="40"/>
      <c r="D265" s="40"/>
      <c r="E265" s="40"/>
      <c r="F265" s="40"/>
    </row>
    <row r="266" spans="1:10">
      <c r="A266" s="40"/>
      <c r="B266" s="40"/>
      <c r="D266" s="40"/>
      <c r="E266" s="40"/>
      <c r="F266" s="40"/>
    </row>
    <row r="267" spans="1:10">
      <c r="A267" s="40"/>
      <c r="B267" s="40"/>
      <c r="D267" s="40"/>
      <c r="E267" s="40"/>
      <c r="F267" s="40"/>
    </row>
    <row r="268" spans="1:10">
      <c r="A268" s="40"/>
      <c r="B268" s="40"/>
      <c r="D268" s="40"/>
      <c r="E268" s="40"/>
      <c r="F268" s="40"/>
    </row>
    <row r="269" spans="1:10">
      <c r="A269" s="40"/>
      <c r="B269" s="40"/>
      <c r="D269" s="40"/>
      <c r="E269" s="40"/>
      <c r="F269" s="40"/>
    </row>
    <row r="270" spans="1:10">
      <c r="A270" s="40"/>
      <c r="B270" s="40"/>
      <c r="D270" s="40"/>
      <c r="E270" s="40"/>
      <c r="F270" s="40"/>
    </row>
    <row r="271" spans="1:10">
      <c r="A271" s="40"/>
      <c r="B271" s="40"/>
      <c r="D271" s="40"/>
      <c r="E271" s="40"/>
      <c r="F271" s="40"/>
    </row>
    <row r="272" spans="1:10">
      <c r="A272" s="40"/>
      <c r="B272" s="40"/>
      <c r="D272" s="40"/>
      <c r="E272" s="40"/>
      <c r="F272" s="40"/>
    </row>
    <row r="273" spans="1:6">
      <c r="A273" s="40"/>
      <c r="B273" s="40"/>
      <c r="D273" s="40"/>
      <c r="E273" s="40"/>
      <c r="F273" s="40"/>
    </row>
    <row r="274" spans="1:6">
      <c r="A274" s="40"/>
      <c r="B274" s="40"/>
      <c r="D274" s="40"/>
      <c r="E274" s="40"/>
      <c r="F274" s="40"/>
    </row>
    <row r="275" spans="1:6">
      <c r="A275" s="40"/>
      <c r="B275" s="40"/>
      <c r="D275" s="40"/>
      <c r="E275" s="40"/>
      <c r="F275" s="40"/>
    </row>
    <row r="276" spans="1:6">
      <c r="A276" s="40"/>
      <c r="B276" s="40"/>
      <c r="D276" s="40"/>
      <c r="E276" s="40"/>
      <c r="F276" s="40"/>
    </row>
    <row r="277" spans="1:6">
      <c r="A277" s="40"/>
      <c r="B277" s="40"/>
      <c r="D277" s="40"/>
      <c r="E277" s="40"/>
      <c r="F277" s="40"/>
    </row>
    <row r="278" spans="1:6">
      <c r="A278" s="40"/>
      <c r="B278" s="40"/>
      <c r="D278" s="40"/>
      <c r="E278" s="40"/>
      <c r="F278" s="40"/>
    </row>
    <row r="279" spans="1:6">
      <c r="A279" s="40"/>
      <c r="B279" s="40"/>
      <c r="D279" s="40"/>
      <c r="E279" s="40"/>
      <c r="F279" s="40"/>
    </row>
    <row r="280" spans="1:6">
      <c r="A280" s="40"/>
      <c r="B280" s="40"/>
      <c r="D280" s="40"/>
      <c r="E280" s="40"/>
      <c r="F280" s="40"/>
    </row>
  </sheetData>
  <printOptions gridLinesSet="0"/>
  <pageMargins left="0.78740157480314965" right="0" top="0.51181102362204722" bottom="0.51181102362204722" header="0.51181102362204722" footer="0.51181102362204722"/>
  <pageSetup paperSize="9" scale="68" orientation="portrait" horizontalDpi="300" verticalDpi="300" r:id="rId1"/>
  <headerFooter alignWithMargins="0">
    <oddFooter>&amp;C&amp;"Times New Roman,Regular"&amp;8&amp;P of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17"/>
  <sheetViews>
    <sheetView showGridLines="0" zoomScaleNormal="100" workbookViewId="0"/>
  </sheetViews>
  <sheetFormatPr defaultColWidth="12.59765625" defaultRowHeight="14.5"/>
  <cols>
    <col min="1" max="1" width="4.8984375" style="738" customWidth="1"/>
    <col min="2" max="2" width="36" style="738" customWidth="1"/>
    <col min="3" max="3" width="11.59765625" style="738" customWidth="1"/>
    <col min="4" max="4" width="10" style="738" customWidth="1"/>
    <col min="5" max="5" width="2.296875" style="738" customWidth="1"/>
    <col min="6" max="6" width="39.59765625" style="738" customWidth="1"/>
    <col min="7" max="16384" width="12.59765625" style="738"/>
  </cols>
  <sheetData>
    <row r="1" spans="1:6">
      <c r="A1" s="733" t="s">
        <v>1075</v>
      </c>
      <c r="D1" s="739">
        <v>2016</v>
      </c>
    </row>
    <row r="3" spans="1:6">
      <c r="A3" s="733" t="s">
        <v>11693</v>
      </c>
      <c r="D3" s="740">
        <f t="shared" ref="D3" si="0">SUM(D5:D9)</f>
        <v>978417</v>
      </c>
    </row>
    <row r="4" spans="1:6">
      <c r="D4" s="741"/>
      <c r="F4" s="742"/>
    </row>
    <row r="5" spans="1:6">
      <c r="A5" s="733" t="s">
        <v>13445</v>
      </c>
      <c r="C5" s="733"/>
      <c r="D5" s="740">
        <f t="shared" ref="D5" si="1">D54</f>
        <v>109974</v>
      </c>
      <c r="F5" s="743"/>
    </row>
    <row r="6" spans="1:6">
      <c r="A6" s="733" t="s">
        <v>13446</v>
      </c>
      <c r="C6" s="733"/>
      <c r="D6" s="740">
        <f t="shared" ref="D6" si="2">D86</f>
        <v>303978</v>
      </c>
      <c r="F6" s="743"/>
    </row>
    <row r="7" spans="1:6">
      <c r="A7" s="733" t="s">
        <v>13447</v>
      </c>
      <c r="C7" s="733"/>
      <c r="D7" s="740">
        <f t="shared" ref="D7" si="3">D129</f>
        <v>130576</v>
      </c>
      <c r="F7" s="743"/>
    </row>
    <row r="8" spans="1:6">
      <c r="A8" s="733" t="s">
        <v>13448</v>
      </c>
      <c r="C8" s="733"/>
      <c r="D8" s="740">
        <f t="shared" ref="D8" si="4">D155</f>
        <v>198900</v>
      </c>
      <c r="F8" s="743"/>
    </row>
    <row r="9" spans="1:6">
      <c r="A9" s="733" t="s">
        <v>13449</v>
      </c>
      <c r="C9" s="733"/>
      <c r="D9" s="740">
        <f t="shared" ref="D9" si="5">D188</f>
        <v>234989</v>
      </c>
      <c r="F9" s="743"/>
    </row>
    <row r="11" spans="1:6">
      <c r="A11" s="733" t="s">
        <v>13450</v>
      </c>
      <c r="D11" s="740">
        <f>D212</f>
        <v>75393</v>
      </c>
      <c r="F11" s="733" t="s">
        <v>11710</v>
      </c>
    </row>
    <row r="13" spans="1:6">
      <c r="A13" s="733" t="s">
        <v>13451</v>
      </c>
      <c r="D13" s="740">
        <f t="shared" ref="D13" si="6">D213</f>
        <v>72672</v>
      </c>
      <c r="F13" s="733" t="s">
        <v>11710</v>
      </c>
    </row>
    <row r="14" spans="1:6">
      <c r="D14" s="741"/>
    </row>
    <row r="15" spans="1:6">
      <c r="A15" s="733" t="s">
        <v>13452</v>
      </c>
      <c r="D15" s="741">
        <f>D118</f>
        <v>19849</v>
      </c>
      <c r="F15" s="733" t="s">
        <v>13453</v>
      </c>
    </row>
    <row r="16" spans="1:6" ht="15" thickBot="1">
      <c r="D16" s="744">
        <f t="shared" ref="D16" si="7">D179</f>
        <v>57441</v>
      </c>
      <c r="F16" s="733" t="s">
        <v>13454</v>
      </c>
    </row>
    <row r="17" spans="1:6" ht="15" thickBot="1">
      <c r="A17" s="733"/>
      <c r="D17" s="744">
        <f t="shared" ref="D17" si="8">D15+D16</f>
        <v>77290</v>
      </c>
      <c r="F17" s="733"/>
    </row>
    <row r="18" spans="1:6">
      <c r="D18" s="741"/>
    </row>
    <row r="19" spans="1:6">
      <c r="A19" s="688" t="s">
        <v>11709</v>
      </c>
      <c r="D19" s="741">
        <f>CHESHIRE!D27</f>
        <v>66156</v>
      </c>
      <c r="F19" s="688" t="s">
        <v>11705</v>
      </c>
    </row>
    <row r="20" spans="1:6" ht="15" thickBot="1">
      <c r="D20" s="744">
        <f>D214</f>
        <v>10872</v>
      </c>
      <c r="F20" s="733" t="s">
        <v>11710</v>
      </c>
    </row>
    <row r="21" spans="1:6" ht="15" thickBot="1">
      <c r="D21" s="744">
        <f t="shared" ref="D21" si="9">D19+D20</f>
        <v>77028</v>
      </c>
    </row>
    <row r="22" spans="1:6">
      <c r="D22" s="741"/>
    </row>
    <row r="23" spans="1:6">
      <c r="A23" s="733" t="s">
        <v>13455</v>
      </c>
      <c r="D23" s="740">
        <f t="shared" ref="D23" si="10">D77</f>
        <v>15689</v>
      </c>
      <c r="F23" s="733" t="s">
        <v>13456</v>
      </c>
    </row>
    <row r="24" spans="1:6" ht="15" thickBot="1">
      <c r="D24" s="744">
        <f t="shared" ref="D24" si="11">D119</f>
        <v>56253</v>
      </c>
      <c r="F24" s="733" t="s">
        <v>13453</v>
      </c>
    </row>
    <row r="25" spans="1:6" ht="15" thickBot="1">
      <c r="D25" s="744">
        <f t="shared" ref="D25" si="12">D23+D24</f>
        <v>71942</v>
      </c>
    </row>
    <row r="26" spans="1:6">
      <c r="D26" s="741"/>
    </row>
    <row r="27" spans="1:6">
      <c r="A27" s="733" t="s">
        <v>13457</v>
      </c>
      <c r="D27" s="740">
        <f t="shared" ref="D27" si="13">D78</f>
        <v>77916</v>
      </c>
      <c r="F27" s="733" t="s">
        <v>13456</v>
      </c>
    </row>
    <row r="28" spans="1:6">
      <c r="D28" s="741"/>
    </row>
    <row r="29" spans="1:6">
      <c r="A29" s="733" t="s">
        <v>13458</v>
      </c>
      <c r="D29" s="740">
        <f t="shared" ref="D29" si="14">D120</f>
        <v>77665</v>
      </c>
      <c r="F29" s="733" t="s">
        <v>13453</v>
      </c>
    </row>
    <row r="30" spans="1:6">
      <c r="D30" s="741"/>
    </row>
    <row r="31" spans="1:6">
      <c r="A31" s="733" t="s">
        <v>13459</v>
      </c>
      <c r="D31" s="740">
        <f t="shared" ref="D31" si="15">D121</f>
        <v>76261</v>
      </c>
      <c r="F31" s="733" t="s">
        <v>13453</v>
      </c>
    </row>
    <row r="32" spans="1:6">
      <c r="A32" s="733"/>
      <c r="D32" s="740"/>
      <c r="F32" s="733"/>
    </row>
    <row r="33" spans="1:6">
      <c r="A33" s="733" t="s">
        <v>13460</v>
      </c>
      <c r="D33" s="740">
        <f t="shared" ref="D33" si="16">D122</f>
        <v>73950</v>
      </c>
      <c r="F33" s="733" t="s">
        <v>13453</v>
      </c>
    </row>
    <row r="34" spans="1:6">
      <c r="A34" s="733"/>
      <c r="D34" s="740"/>
      <c r="F34" s="733"/>
    </row>
    <row r="35" spans="1:6">
      <c r="A35" s="733" t="s">
        <v>13461</v>
      </c>
      <c r="D35" s="740">
        <f t="shared" ref="D35" si="17">D147</f>
        <v>72060</v>
      </c>
      <c r="F35" s="733" t="s">
        <v>13462</v>
      </c>
    </row>
    <row r="36" spans="1:6">
      <c r="D36" s="741"/>
    </row>
    <row r="37" spans="1:6">
      <c r="A37" s="733" t="s">
        <v>13463</v>
      </c>
      <c r="D37" s="740">
        <f t="shared" ref="D37" si="18">D79</f>
        <v>16369</v>
      </c>
      <c r="F37" s="733" t="s">
        <v>13456</v>
      </c>
    </row>
    <row r="38" spans="1:6" ht="15" thickBot="1">
      <c r="A38" s="733"/>
      <c r="D38" s="744">
        <f t="shared" ref="D38" si="19">D148</f>
        <v>58516</v>
      </c>
      <c r="F38" s="733" t="s">
        <v>13462</v>
      </c>
    </row>
    <row r="39" spans="1:6" ht="15" thickBot="1">
      <c r="A39" s="733"/>
      <c r="D39" s="745">
        <f t="shared" ref="D39" si="20">D37+D38</f>
        <v>74885</v>
      </c>
      <c r="F39" s="733"/>
    </row>
    <row r="40" spans="1:6">
      <c r="A40" s="733"/>
      <c r="D40" s="746"/>
      <c r="F40" s="733"/>
    </row>
    <row r="41" spans="1:6">
      <c r="A41" s="733" t="s">
        <v>13464</v>
      </c>
      <c r="D41" s="740">
        <f t="shared" ref="D41" si="21">D180</f>
        <v>76378</v>
      </c>
      <c r="F41" s="733" t="s">
        <v>13454</v>
      </c>
    </row>
    <row r="42" spans="1:6">
      <c r="D42" s="741"/>
    </row>
    <row r="43" spans="1:6">
      <c r="A43" s="733" t="s">
        <v>12858</v>
      </c>
      <c r="D43" s="740">
        <f t="shared" ref="D43" si="22">D181</f>
        <v>65081</v>
      </c>
      <c r="F43" s="733" t="s">
        <v>13454</v>
      </c>
    </row>
    <row r="44" spans="1:6" ht="15" thickBot="1">
      <c r="A44" s="733"/>
      <c r="D44" s="740">
        <f>LANCASHIRE!D70</f>
        <v>10747</v>
      </c>
      <c r="F44" s="733" t="s">
        <v>12860</v>
      </c>
    </row>
    <row r="45" spans="1:6" ht="15" thickBot="1">
      <c r="A45" s="733"/>
      <c r="D45" s="745">
        <f t="shared" ref="D45" si="23">D43+D44</f>
        <v>75828</v>
      </c>
      <c r="F45" s="733"/>
    </row>
    <row r="46" spans="1:6">
      <c r="D46" s="741"/>
    </row>
    <row r="47" spans="1:6">
      <c r="A47" s="733" t="s">
        <v>13465</v>
      </c>
      <c r="D47" s="746">
        <f t="shared" ref="D47" si="24">D215</f>
        <v>76052</v>
      </c>
      <c r="F47" s="733" t="s">
        <v>11710</v>
      </c>
    </row>
    <row r="48" spans="1:6">
      <c r="D48" s="741"/>
    </row>
    <row r="49" spans="1:10">
      <c r="A49" s="733" t="s">
        <v>1041</v>
      </c>
      <c r="D49" s="740">
        <f>D11+D13+D17+D20+D25+D27+D29+D31+D33+D35+D39+D41+D43+D47</f>
        <v>978417</v>
      </c>
    </row>
    <row r="50" spans="1:10">
      <c r="D50" s="741"/>
    </row>
    <row r="51" spans="1:10">
      <c r="A51" s="747"/>
      <c r="D51" s="748"/>
    </row>
    <row r="52" spans="1:10">
      <c r="D52" s="10" t="s">
        <v>285</v>
      </c>
      <c r="E52" s="38"/>
      <c r="F52" s="38" t="s">
        <v>4116</v>
      </c>
    </row>
    <row r="53" spans="1:10">
      <c r="D53" s="39">
        <v>2016</v>
      </c>
      <c r="F53" s="41" t="s">
        <v>286</v>
      </c>
    </row>
    <row r="54" spans="1:10">
      <c r="A54" s="733" t="s">
        <v>13466</v>
      </c>
      <c r="C54" s="733"/>
      <c r="D54" s="740">
        <f t="shared" ref="D54" si="25">SUM(D55:D75)</f>
        <v>109974</v>
      </c>
    </row>
    <row r="55" spans="1:10">
      <c r="A55" s="733" t="s">
        <v>812</v>
      </c>
      <c r="B55" s="733" t="s">
        <v>13467</v>
      </c>
      <c r="C55" s="1" t="s">
        <v>13468</v>
      </c>
      <c r="D55" s="7">
        <v>5424</v>
      </c>
      <c r="F55" s="733" t="s">
        <v>13457</v>
      </c>
      <c r="H55" s="1"/>
      <c r="J55" s="1"/>
    </row>
    <row r="56" spans="1:10">
      <c r="A56" s="733" t="s">
        <v>813</v>
      </c>
      <c r="B56" s="733" t="s">
        <v>13469</v>
      </c>
      <c r="C56" s="1" t="s">
        <v>13470</v>
      </c>
      <c r="D56" s="7">
        <v>5044</v>
      </c>
      <c r="F56" s="733" t="s">
        <v>13455</v>
      </c>
      <c r="H56" s="1"/>
      <c r="J56" s="1"/>
    </row>
    <row r="57" spans="1:10">
      <c r="A57" s="733" t="s">
        <v>814</v>
      </c>
      <c r="B57" s="733" t="s">
        <v>13471</v>
      </c>
      <c r="C57" s="1" t="s">
        <v>13472</v>
      </c>
      <c r="D57" s="7">
        <v>5487</v>
      </c>
      <c r="F57" s="733" t="s">
        <v>13455</v>
      </c>
      <c r="H57" s="1"/>
      <c r="J57" s="1"/>
    </row>
    <row r="58" spans="1:10">
      <c r="A58" s="733" t="s">
        <v>815</v>
      </c>
      <c r="B58" s="733" t="s">
        <v>13473</v>
      </c>
      <c r="C58" s="1" t="s">
        <v>13474</v>
      </c>
      <c r="D58" s="7">
        <v>5158</v>
      </c>
      <c r="F58" s="733" t="s">
        <v>13455</v>
      </c>
      <c r="H58" s="1"/>
      <c r="J58" s="1"/>
    </row>
    <row r="59" spans="1:10">
      <c r="A59" s="733" t="s">
        <v>816</v>
      </c>
      <c r="B59" s="733" t="s">
        <v>13475</v>
      </c>
      <c r="C59" s="1" t="s">
        <v>13476</v>
      </c>
      <c r="D59" s="7">
        <v>4699</v>
      </c>
      <c r="F59" s="733" t="s">
        <v>13457</v>
      </c>
      <c r="H59" s="1"/>
      <c r="J59" s="1"/>
    </row>
    <row r="60" spans="1:10">
      <c r="A60" s="733" t="s">
        <v>826</v>
      </c>
      <c r="B60" s="733" t="s">
        <v>13477</v>
      </c>
      <c r="C60" s="1" t="s">
        <v>13478</v>
      </c>
      <c r="D60" s="7">
        <v>6386</v>
      </c>
      <c r="F60" s="733" t="s">
        <v>13457</v>
      </c>
      <c r="H60" s="1"/>
      <c r="J60" s="1"/>
    </row>
    <row r="61" spans="1:10">
      <c r="A61" s="733" t="s">
        <v>827</v>
      </c>
      <c r="B61" s="733" t="s">
        <v>9905</v>
      </c>
      <c r="C61" s="1" t="s">
        <v>13479</v>
      </c>
      <c r="D61" s="7">
        <v>5379</v>
      </c>
      <c r="F61" s="733" t="s">
        <v>13457</v>
      </c>
      <c r="H61" s="1"/>
      <c r="J61" s="1"/>
    </row>
    <row r="62" spans="1:10">
      <c r="A62" s="733" t="s">
        <v>828</v>
      </c>
      <c r="B62" s="733" t="s">
        <v>13480</v>
      </c>
      <c r="C62" s="1" t="s">
        <v>13481</v>
      </c>
      <c r="D62" s="7">
        <v>4851</v>
      </c>
      <c r="F62" s="733" t="s">
        <v>13457</v>
      </c>
      <c r="H62" s="1"/>
      <c r="J62" s="1"/>
    </row>
    <row r="63" spans="1:10">
      <c r="A63" s="733" t="s">
        <v>829</v>
      </c>
      <c r="B63" s="733" t="s">
        <v>303</v>
      </c>
      <c r="C63" s="1" t="s">
        <v>13482</v>
      </c>
      <c r="D63" s="7">
        <v>4992</v>
      </c>
      <c r="F63" s="733" t="s">
        <v>13457</v>
      </c>
      <c r="H63" s="1"/>
      <c r="J63" s="1"/>
    </row>
    <row r="64" spans="1:10">
      <c r="A64" s="733" t="s">
        <v>830</v>
      </c>
      <c r="B64" s="733" t="s">
        <v>13483</v>
      </c>
      <c r="C64" s="1" t="s">
        <v>13484</v>
      </c>
      <c r="D64" s="8">
        <v>5671</v>
      </c>
      <c r="F64" s="733" t="s">
        <v>13463</v>
      </c>
      <c r="H64" s="1"/>
      <c r="J64" s="1"/>
    </row>
    <row r="65" spans="1:10">
      <c r="A65" s="733" t="s">
        <v>831</v>
      </c>
      <c r="B65" s="733" t="s">
        <v>13485</v>
      </c>
      <c r="C65" s="1" t="s">
        <v>13486</v>
      </c>
      <c r="D65" s="7">
        <v>5042</v>
      </c>
      <c r="F65" s="733" t="s">
        <v>13457</v>
      </c>
      <c r="H65" s="1"/>
      <c r="J65" s="1"/>
    </row>
    <row r="66" spans="1:10">
      <c r="A66" s="733" t="s">
        <v>832</v>
      </c>
      <c r="B66" s="733" t="s">
        <v>13487</v>
      </c>
      <c r="C66" s="1" t="s">
        <v>13488</v>
      </c>
      <c r="D66" s="7">
        <v>5807</v>
      </c>
      <c r="F66" s="733" t="s">
        <v>13457</v>
      </c>
      <c r="H66" s="1"/>
      <c r="J66" s="1"/>
    </row>
    <row r="67" spans="1:10">
      <c r="A67" s="733" t="s">
        <v>833</v>
      </c>
      <c r="B67" s="733" t="s">
        <v>7910</v>
      </c>
      <c r="C67" s="1" t="s">
        <v>13489</v>
      </c>
      <c r="D67" s="7">
        <v>5278</v>
      </c>
      <c r="F67" s="733" t="s">
        <v>13457</v>
      </c>
      <c r="H67" s="1"/>
      <c r="J67" s="1"/>
    </row>
    <row r="68" spans="1:10">
      <c r="A68" s="733" t="s">
        <v>834</v>
      </c>
      <c r="B68" s="733" t="s">
        <v>13490</v>
      </c>
      <c r="C68" s="1" t="s">
        <v>13491</v>
      </c>
      <c r="D68" s="7">
        <v>5160</v>
      </c>
      <c r="F68" s="733" t="s">
        <v>13457</v>
      </c>
      <c r="H68" s="1"/>
      <c r="J68" s="1"/>
    </row>
    <row r="69" spans="1:10">
      <c r="A69" s="733" t="s">
        <v>835</v>
      </c>
      <c r="B69" s="733" t="s">
        <v>13492</v>
      </c>
      <c r="C69" s="1" t="s">
        <v>13493</v>
      </c>
      <c r="D69" s="7">
        <v>5184</v>
      </c>
      <c r="F69" s="733" t="s">
        <v>13457</v>
      </c>
      <c r="H69" s="1"/>
      <c r="J69" s="1"/>
    </row>
    <row r="70" spans="1:10">
      <c r="A70" s="733" t="s">
        <v>836</v>
      </c>
      <c r="B70" s="733" t="s">
        <v>13494</v>
      </c>
      <c r="C70" s="1" t="s">
        <v>13495</v>
      </c>
      <c r="D70" s="7">
        <v>5201</v>
      </c>
      <c r="F70" s="733" t="s">
        <v>13457</v>
      </c>
      <c r="H70" s="1"/>
      <c r="J70" s="1"/>
    </row>
    <row r="71" spans="1:10">
      <c r="A71" s="733" t="s">
        <v>837</v>
      </c>
      <c r="B71" s="733" t="s">
        <v>13496</v>
      </c>
      <c r="C71" s="1" t="s">
        <v>13497</v>
      </c>
      <c r="D71" s="8">
        <v>4423</v>
      </c>
      <c r="F71" s="733" t="s">
        <v>13457</v>
      </c>
      <c r="H71" s="1"/>
      <c r="J71" s="1"/>
    </row>
    <row r="72" spans="1:10">
      <c r="A72" s="733" t="s">
        <v>838</v>
      </c>
      <c r="B72" s="733" t="s">
        <v>13498</v>
      </c>
      <c r="C72" s="1" t="s">
        <v>13499</v>
      </c>
      <c r="D72" s="8">
        <v>5319</v>
      </c>
      <c r="F72" s="733" t="s">
        <v>13457</v>
      </c>
      <c r="H72" s="1"/>
      <c r="J72" s="1"/>
    </row>
    <row r="73" spans="1:10">
      <c r="A73" s="733" t="s">
        <v>840</v>
      </c>
      <c r="B73" s="733" t="s">
        <v>13500</v>
      </c>
      <c r="C73" s="1" t="s">
        <v>13501</v>
      </c>
      <c r="D73" s="8">
        <v>5396</v>
      </c>
      <c r="F73" s="733" t="s">
        <v>13463</v>
      </c>
      <c r="H73" s="1"/>
      <c r="J73" s="1"/>
    </row>
    <row r="74" spans="1:10">
      <c r="A74" s="733" t="s">
        <v>841</v>
      </c>
      <c r="B74" s="733" t="s">
        <v>13502</v>
      </c>
      <c r="C74" s="1" t="s">
        <v>13503</v>
      </c>
      <c r="D74" s="8">
        <v>5302</v>
      </c>
      <c r="F74" s="733" t="s">
        <v>13463</v>
      </c>
      <c r="H74" s="1"/>
      <c r="J74" s="1"/>
    </row>
    <row r="75" spans="1:10">
      <c r="A75" s="733" t="s">
        <v>878</v>
      </c>
      <c r="B75" s="733" t="s">
        <v>13178</v>
      </c>
      <c r="C75" s="1" t="s">
        <v>13504</v>
      </c>
      <c r="D75" s="8">
        <v>4771</v>
      </c>
      <c r="F75" s="733" t="s">
        <v>13457</v>
      </c>
      <c r="H75" s="1"/>
      <c r="J75" s="1"/>
    </row>
    <row r="76" spans="1:10">
      <c r="D76" s="741"/>
    </row>
    <row r="77" spans="1:10">
      <c r="A77" s="733" t="s">
        <v>13505</v>
      </c>
      <c r="D77" s="740">
        <f t="shared" ref="D77" si="26">SUM(D56:D58)</f>
        <v>15689</v>
      </c>
    </row>
    <row r="78" spans="1:10">
      <c r="A78" s="733" t="s">
        <v>13457</v>
      </c>
      <c r="D78" s="740">
        <f t="shared" ref="D78" si="27">D55+SUM(D59:D63)+SUM(D65:D72)+D75</f>
        <v>77916</v>
      </c>
    </row>
    <row r="79" spans="1:10">
      <c r="A79" s="733" t="s">
        <v>13506</v>
      </c>
      <c r="D79" s="740">
        <f t="shared" ref="D79" si="28">D64+D73+D74</f>
        <v>16369</v>
      </c>
    </row>
    <row r="80" spans="1:10">
      <c r="A80" s="733"/>
      <c r="D80" s="740"/>
    </row>
    <row r="81" spans="1:10">
      <c r="A81" s="733" t="s">
        <v>13507</v>
      </c>
      <c r="D81" s="740"/>
    </row>
    <row r="82" spans="1:10">
      <c r="A82" s="733"/>
      <c r="B82" s="733"/>
      <c r="D82" s="749"/>
    </row>
    <row r="83" spans="1:10">
      <c r="A83" s="733"/>
      <c r="B83" s="733"/>
      <c r="D83" s="749"/>
    </row>
    <row r="84" spans="1:10">
      <c r="D84" s="10" t="s">
        <v>285</v>
      </c>
      <c r="E84" s="38"/>
      <c r="F84" s="38" t="s">
        <v>4116</v>
      </c>
    </row>
    <row r="85" spans="1:10">
      <c r="D85" s="39">
        <v>2016</v>
      </c>
      <c r="F85" s="41" t="s">
        <v>286</v>
      </c>
    </row>
    <row r="86" spans="1:10">
      <c r="A86" s="733" t="s">
        <v>13508</v>
      </c>
      <c r="D86" s="740">
        <f t="shared" ref="D86" si="29">SUM(D87:D116)</f>
        <v>303978</v>
      </c>
    </row>
    <row r="87" spans="1:10">
      <c r="A87" s="733" t="s">
        <v>812</v>
      </c>
      <c r="B87" s="733" t="s">
        <v>13509</v>
      </c>
      <c r="C87" s="1" t="s">
        <v>13510</v>
      </c>
      <c r="D87" s="7">
        <v>11090</v>
      </c>
      <c r="F87" s="733" t="s">
        <v>13455</v>
      </c>
      <c r="H87" s="1"/>
      <c r="J87" s="1"/>
    </row>
    <row r="88" spans="1:10">
      <c r="A88" s="733" t="s">
        <v>813</v>
      </c>
      <c r="B88" s="733" t="s">
        <v>13511</v>
      </c>
      <c r="C88" s="1" t="s">
        <v>13512</v>
      </c>
      <c r="D88" s="7">
        <v>8764</v>
      </c>
      <c r="F88" s="733" t="s">
        <v>13458</v>
      </c>
      <c r="H88" s="1"/>
      <c r="J88" s="1"/>
    </row>
    <row r="89" spans="1:10">
      <c r="A89" s="733" t="s">
        <v>814</v>
      </c>
      <c r="B89" s="733" t="s">
        <v>3551</v>
      </c>
      <c r="C89" s="1" t="s">
        <v>13513</v>
      </c>
      <c r="D89" s="7">
        <v>11158</v>
      </c>
      <c r="F89" s="733" t="s">
        <v>13455</v>
      </c>
      <c r="H89" s="1"/>
      <c r="J89" s="1"/>
    </row>
    <row r="90" spans="1:10">
      <c r="A90" s="733" t="s">
        <v>815</v>
      </c>
      <c r="B90" s="733" t="s">
        <v>888</v>
      </c>
      <c r="C90" s="1" t="s">
        <v>13514</v>
      </c>
      <c r="D90" s="7">
        <v>9353</v>
      </c>
      <c r="F90" s="733" t="s">
        <v>13458</v>
      </c>
      <c r="H90" s="1"/>
      <c r="J90" s="1"/>
    </row>
    <row r="91" spans="1:10">
      <c r="A91" s="733" t="s">
        <v>816</v>
      </c>
      <c r="B91" s="733" t="s">
        <v>13515</v>
      </c>
      <c r="C91" s="1" t="s">
        <v>13516</v>
      </c>
      <c r="D91" s="8">
        <v>10784</v>
      </c>
      <c r="F91" s="733" t="s">
        <v>13459</v>
      </c>
      <c r="H91" s="1"/>
      <c r="J91" s="1"/>
    </row>
    <row r="92" spans="1:10">
      <c r="A92" s="733" t="s">
        <v>826</v>
      </c>
      <c r="B92" s="733" t="s">
        <v>12428</v>
      </c>
      <c r="C92" s="1" t="s">
        <v>13517</v>
      </c>
      <c r="D92" s="8">
        <v>10373</v>
      </c>
      <c r="F92" s="733" t="s">
        <v>13459</v>
      </c>
      <c r="H92" s="1"/>
      <c r="J92" s="1"/>
    </row>
    <row r="93" spans="1:10">
      <c r="A93" s="733" t="s">
        <v>827</v>
      </c>
      <c r="B93" s="733" t="s">
        <v>13518</v>
      </c>
      <c r="C93" s="1" t="s">
        <v>13519</v>
      </c>
      <c r="D93" s="7">
        <v>10704</v>
      </c>
      <c r="F93" s="733" t="s">
        <v>13460</v>
      </c>
      <c r="H93" s="1"/>
      <c r="J93" s="1"/>
    </row>
    <row r="94" spans="1:10">
      <c r="A94" s="733" t="s">
        <v>828</v>
      </c>
      <c r="B94" s="733" t="s">
        <v>13520</v>
      </c>
      <c r="C94" s="1" t="s">
        <v>13521</v>
      </c>
      <c r="D94" s="7">
        <v>9088</v>
      </c>
      <c r="F94" s="733" t="s">
        <v>13452</v>
      </c>
      <c r="H94" s="1"/>
      <c r="J94" s="1"/>
    </row>
    <row r="95" spans="1:10">
      <c r="A95" s="733" t="s">
        <v>829</v>
      </c>
      <c r="B95" s="733" t="s">
        <v>13522</v>
      </c>
      <c r="C95" s="1" t="s">
        <v>13523</v>
      </c>
      <c r="D95" s="7">
        <v>11285</v>
      </c>
      <c r="F95" s="733" t="s">
        <v>13455</v>
      </c>
      <c r="H95" s="1"/>
      <c r="J95" s="1"/>
    </row>
    <row r="96" spans="1:10">
      <c r="A96" s="733" t="s">
        <v>830</v>
      </c>
      <c r="B96" s="733" t="s">
        <v>13524</v>
      </c>
      <c r="C96" s="1" t="s">
        <v>13525</v>
      </c>
      <c r="D96" s="8">
        <v>9980</v>
      </c>
      <c r="F96" s="733" t="s">
        <v>13460</v>
      </c>
      <c r="H96" s="1"/>
      <c r="J96" s="1"/>
    </row>
    <row r="97" spans="1:10">
      <c r="A97" s="733" t="s">
        <v>831</v>
      </c>
      <c r="B97" s="733" t="s">
        <v>5728</v>
      </c>
      <c r="C97" s="1" t="s">
        <v>13526</v>
      </c>
      <c r="D97" s="8">
        <v>9832</v>
      </c>
      <c r="F97" s="733" t="s">
        <v>13458</v>
      </c>
      <c r="H97" s="1"/>
      <c r="J97" s="1"/>
    </row>
    <row r="98" spans="1:10">
      <c r="A98" s="733" t="s">
        <v>832</v>
      </c>
      <c r="B98" s="733" t="s">
        <v>13527</v>
      </c>
      <c r="C98" s="1" t="s">
        <v>13528</v>
      </c>
      <c r="D98" s="8">
        <v>10768</v>
      </c>
      <c r="F98" s="733" t="s">
        <v>13460</v>
      </c>
      <c r="H98" s="1"/>
      <c r="J98" s="1"/>
    </row>
    <row r="99" spans="1:10">
      <c r="A99" s="733" t="s">
        <v>833</v>
      </c>
      <c r="B99" s="733" t="s">
        <v>13529</v>
      </c>
      <c r="C99" s="1" t="s">
        <v>13530</v>
      </c>
      <c r="D99" s="7">
        <v>7985</v>
      </c>
      <c r="F99" s="733" t="s">
        <v>13459</v>
      </c>
      <c r="H99" s="1"/>
      <c r="J99" s="1"/>
    </row>
    <row r="100" spans="1:10">
      <c r="A100" s="733" t="s">
        <v>834</v>
      </c>
      <c r="B100" s="733" t="s">
        <v>13531</v>
      </c>
      <c r="C100" s="1" t="s">
        <v>13532</v>
      </c>
      <c r="D100" s="8">
        <v>8036</v>
      </c>
      <c r="F100" s="733" t="s">
        <v>13459</v>
      </c>
      <c r="H100" s="1"/>
      <c r="J100" s="1"/>
    </row>
    <row r="101" spans="1:10">
      <c r="A101" s="733" t="s">
        <v>835</v>
      </c>
      <c r="B101" s="733" t="s">
        <v>13533</v>
      </c>
      <c r="C101" s="1" t="s">
        <v>13534</v>
      </c>
      <c r="D101" s="7">
        <v>10453</v>
      </c>
      <c r="F101" s="733" t="s">
        <v>13458</v>
      </c>
      <c r="H101" s="1"/>
      <c r="J101" s="1"/>
    </row>
    <row r="102" spans="1:10">
      <c r="A102" s="733" t="s">
        <v>836</v>
      </c>
      <c r="B102" s="733" t="s">
        <v>13535</v>
      </c>
      <c r="C102" s="1" t="s">
        <v>13536</v>
      </c>
      <c r="D102" s="8">
        <v>10095</v>
      </c>
      <c r="F102" s="733" t="s">
        <v>13460</v>
      </c>
      <c r="H102" s="1"/>
      <c r="J102" s="1"/>
    </row>
    <row r="103" spans="1:10">
      <c r="A103" s="733" t="s">
        <v>837</v>
      </c>
      <c r="B103" s="733" t="s">
        <v>13537</v>
      </c>
      <c r="C103" s="1" t="s">
        <v>13538</v>
      </c>
      <c r="D103" s="7">
        <v>9639</v>
      </c>
      <c r="F103" s="733" t="s">
        <v>13458</v>
      </c>
      <c r="H103" s="1"/>
      <c r="J103" s="1"/>
    </row>
    <row r="104" spans="1:10">
      <c r="A104" s="733" t="s">
        <v>838</v>
      </c>
      <c r="B104" s="733" t="s">
        <v>13539</v>
      </c>
      <c r="C104" s="1" t="s">
        <v>13540</v>
      </c>
      <c r="D104" s="8">
        <v>10233</v>
      </c>
      <c r="F104" s="733" t="s">
        <v>13460</v>
      </c>
      <c r="H104" s="1"/>
      <c r="J104" s="1"/>
    </row>
    <row r="105" spans="1:10">
      <c r="A105" s="733" t="s">
        <v>840</v>
      </c>
      <c r="B105" s="733" t="s">
        <v>13541</v>
      </c>
      <c r="C105" s="1" t="s">
        <v>13542</v>
      </c>
      <c r="D105" s="8">
        <v>10679</v>
      </c>
      <c r="F105" s="733" t="s">
        <v>13459</v>
      </c>
      <c r="H105" s="1"/>
      <c r="J105" s="1"/>
    </row>
    <row r="106" spans="1:10">
      <c r="A106" s="733" t="s">
        <v>841</v>
      </c>
      <c r="B106" s="733" t="s">
        <v>13543</v>
      </c>
      <c r="C106" s="1" t="s">
        <v>13544</v>
      </c>
      <c r="D106" s="8">
        <v>8756</v>
      </c>
      <c r="F106" s="733" t="s">
        <v>13459</v>
      </c>
      <c r="H106" s="1"/>
      <c r="J106" s="1"/>
    </row>
    <row r="107" spans="1:10">
      <c r="A107" s="733" t="s">
        <v>878</v>
      </c>
      <c r="B107" s="733" t="s">
        <v>13545</v>
      </c>
      <c r="C107" s="1" t="s">
        <v>13546</v>
      </c>
      <c r="D107" s="7">
        <v>9174</v>
      </c>
      <c r="F107" s="733" t="s">
        <v>13458</v>
      </c>
      <c r="H107" s="1"/>
      <c r="J107" s="1"/>
    </row>
    <row r="108" spans="1:10">
      <c r="A108" s="733" t="s">
        <v>879</v>
      </c>
      <c r="B108" s="733" t="s">
        <v>5476</v>
      </c>
      <c r="C108" s="1" t="s">
        <v>13547</v>
      </c>
      <c r="D108" s="7">
        <v>11460</v>
      </c>
      <c r="F108" s="733" t="s">
        <v>13458</v>
      </c>
      <c r="H108" s="1"/>
      <c r="J108" s="1"/>
    </row>
    <row r="109" spans="1:10">
      <c r="A109" s="733" t="s">
        <v>880</v>
      </c>
      <c r="B109" s="733" t="s">
        <v>1074</v>
      </c>
      <c r="C109" s="1" t="s">
        <v>13548</v>
      </c>
      <c r="D109" s="7">
        <v>8990</v>
      </c>
      <c r="F109" s="733" t="s">
        <v>13458</v>
      </c>
      <c r="H109" s="1"/>
      <c r="J109" s="1"/>
    </row>
    <row r="110" spans="1:10">
      <c r="A110" s="733" t="s">
        <v>721</v>
      </c>
      <c r="B110" s="733" t="s">
        <v>13549</v>
      </c>
      <c r="C110" s="1" t="s">
        <v>13550</v>
      </c>
      <c r="D110" s="7">
        <v>12523</v>
      </c>
      <c r="F110" s="733" t="s">
        <v>13455</v>
      </c>
      <c r="H110" s="1"/>
      <c r="J110" s="1"/>
    </row>
    <row r="111" spans="1:10">
      <c r="A111" s="733" t="s">
        <v>722</v>
      </c>
      <c r="B111" s="733" t="s">
        <v>13551</v>
      </c>
      <c r="C111" s="1" t="s">
        <v>13552</v>
      </c>
      <c r="D111" s="8">
        <v>9675</v>
      </c>
      <c r="F111" s="733" t="s">
        <v>13459</v>
      </c>
      <c r="H111" s="1"/>
      <c r="J111" s="1"/>
    </row>
    <row r="112" spans="1:10">
      <c r="A112" s="733" t="s">
        <v>723</v>
      </c>
      <c r="B112" s="733" t="s">
        <v>12938</v>
      </c>
      <c r="C112" s="1" t="s">
        <v>13553</v>
      </c>
      <c r="D112" s="8">
        <v>10761</v>
      </c>
      <c r="F112" s="733" t="s">
        <v>13452</v>
      </c>
      <c r="H112" s="1"/>
      <c r="J112" s="1"/>
    </row>
    <row r="113" spans="1:10">
      <c r="A113" s="733" t="s">
        <v>733</v>
      </c>
      <c r="B113" s="733" t="s">
        <v>13554</v>
      </c>
      <c r="C113" s="1" t="s">
        <v>13555</v>
      </c>
      <c r="D113" s="8">
        <v>9973</v>
      </c>
      <c r="F113" s="733" t="s">
        <v>13459</v>
      </c>
      <c r="H113" s="1"/>
      <c r="J113" s="1"/>
    </row>
    <row r="114" spans="1:10">
      <c r="A114" s="733" t="s">
        <v>734</v>
      </c>
      <c r="B114" s="733" t="s">
        <v>13556</v>
      </c>
      <c r="C114" s="1" t="s">
        <v>13557</v>
      </c>
      <c r="D114" s="8">
        <v>10895</v>
      </c>
      <c r="F114" s="733" t="s">
        <v>13460</v>
      </c>
      <c r="H114" s="1"/>
      <c r="J114" s="1"/>
    </row>
    <row r="115" spans="1:10">
      <c r="A115" s="733" t="s">
        <v>735</v>
      </c>
      <c r="B115" s="733" t="s">
        <v>13558</v>
      </c>
      <c r="C115" s="1" t="s">
        <v>13559</v>
      </c>
      <c r="D115" s="7">
        <v>10197</v>
      </c>
      <c r="F115" s="733" t="s">
        <v>13455</v>
      </c>
      <c r="H115" s="1"/>
      <c r="J115" s="1"/>
    </row>
    <row r="116" spans="1:10">
      <c r="A116" s="733" t="s">
        <v>736</v>
      </c>
      <c r="B116" s="733" t="s">
        <v>13560</v>
      </c>
      <c r="C116" s="1" t="s">
        <v>13561</v>
      </c>
      <c r="D116" s="8">
        <v>11275</v>
      </c>
      <c r="F116" s="733" t="s">
        <v>13460</v>
      </c>
      <c r="H116" s="1"/>
      <c r="J116" s="1"/>
    </row>
    <row r="117" spans="1:10">
      <c r="D117" s="741"/>
    </row>
    <row r="118" spans="1:10">
      <c r="A118" s="733" t="s">
        <v>13562</v>
      </c>
      <c r="D118" s="741">
        <f>D94+D112</f>
        <v>19849</v>
      </c>
    </row>
    <row r="119" spans="1:10">
      <c r="A119" s="733" t="s">
        <v>13505</v>
      </c>
      <c r="D119" s="741">
        <f>D87+D89+D95+D110+D115</f>
        <v>56253</v>
      </c>
    </row>
    <row r="120" spans="1:10">
      <c r="A120" s="733" t="s">
        <v>13458</v>
      </c>
      <c r="D120" s="740">
        <f>D88+D90+D97+D101+D103+SUM(D107:D109)</f>
        <v>77665</v>
      </c>
    </row>
    <row r="121" spans="1:10">
      <c r="A121" s="733" t="s">
        <v>13459</v>
      </c>
      <c r="D121" s="740">
        <f>D91+D92+D99+D100+D105+D106+D111+D113</f>
        <v>76261</v>
      </c>
    </row>
    <row r="122" spans="1:10">
      <c r="A122" s="733" t="s">
        <v>13460</v>
      </c>
      <c r="D122" s="741">
        <f>D93+D96+D98+D102+D104+D114+D116</f>
        <v>73950</v>
      </c>
    </row>
    <row r="123" spans="1:10">
      <c r="A123" s="733"/>
      <c r="D123" s="740"/>
    </row>
    <row r="124" spans="1:10">
      <c r="A124" s="733" t="s">
        <v>13563</v>
      </c>
      <c r="D124" s="740"/>
    </row>
    <row r="125" spans="1:10">
      <c r="A125" s="733"/>
      <c r="B125" s="733"/>
      <c r="D125" s="749"/>
    </row>
    <row r="126" spans="1:10">
      <c r="A126" s="733"/>
      <c r="B126" s="733"/>
      <c r="D126" s="749"/>
    </row>
    <row r="127" spans="1:10">
      <c r="D127" s="10" t="s">
        <v>285</v>
      </c>
      <c r="E127" s="38"/>
      <c r="F127" s="38" t="s">
        <v>4116</v>
      </c>
    </row>
    <row r="128" spans="1:10">
      <c r="D128" s="39">
        <v>2016</v>
      </c>
      <c r="F128" s="41" t="s">
        <v>286</v>
      </c>
    </row>
    <row r="129" spans="1:10">
      <c r="A129" s="733" t="s">
        <v>13564</v>
      </c>
      <c r="D129" s="740">
        <f t="shared" ref="D129" si="30">SUM(D130:D145)</f>
        <v>130576</v>
      </c>
    </row>
    <row r="130" spans="1:10">
      <c r="A130" s="733" t="s">
        <v>812</v>
      </c>
      <c r="B130" s="733" t="s">
        <v>13565</v>
      </c>
      <c r="C130" s="1" t="s">
        <v>13566</v>
      </c>
      <c r="D130" s="7">
        <v>8503</v>
      </c>
      <c r="F130" s="733" t="s">
        <v>13461</v>
      </c>
      <c r="H130" s="1"/>
      <c r="J130" s="1"/>
    </row>
    <row r="131" spans="1:10">
      <c r="A131" s="733" t="s">
        <v>813</v>
      </c>
      <c r="B131" s="733" t="s">
        <v>4378</v>
      </c>
      <c r="C131" s="1" t="s">
        <v>13567</v>
      </c>
      <c r="D131" s="7">
        <v>7946</v>
      </c>
      <c r="F131" s="733" t="s">
        <v>13461</v>
      </c>
      <c r="H131" s="1"/>
      <c r="J131" s="1"/>
    </row>
    <row r="132" spans="1:10">
      <c r="A132" s="733" t="s">
        <v>814</v>
      </c>
      <c r="B132" s="733" t="s">
        <v>13568</v>
      </c>
      <c r="C132" s="1" t="s">
        <v>13569</v>
      </c>
      <c r="D132" s="7">
        <v>7201</v>
      </c>
      <c r="F132" s="733" t="s">
        <v>13463</v>
      </c>
      <c r="H132" s="1"/>
      <c r="J132" s="1"/>
    </row>
    <row r="133" spans="1:10">
      <c r="A133" s="733" t="s">
        <v>815</v>
      </c>
      <c r="B133" s="733" t="s">
        <v>13570</v>
      </c>
      <c r="C133" s="1" t="s">
        <v>13571</v>
      </c>
      <c r="D133" s="7">
        <v>7806</v>
      </c>
      <c r="F133" s="733" t="s">
        <v>13461</v>
      </c>
      <c r="H133" s="1"/>
      <c r="J133" s="1"/>
    </row>
    <row r="134" spans="1:10">
      <c r="A134" s="733" t="s">
        <v>816</v>
      </c>
      <c r="B134" s="733" t="s">
        <v>13572</v>
      </c>
      <c r="C134" s="1" t="s">
        <v>13573</v>
      </c>
      <c r="D134" s="7">
        <v>9127</v>
      </c>
      <c r="F134" s="733" t="s">
        <v>13463</v>
      </c>
      <c r="H134" s="1"/>
      <c r="J134" s="1"/>
    </row>
    <row r="135" spans="1:10">
      <c r="A135" s="733" t="s">
        <v>826</v>
      </c>
      <c r="B135" s="733" t="s">
        <v>13574</v>
      </c>
      <c r="C135" s="1" t="s">
        <v>13575</v>
      </c>
      <c r="D135" s="7">
        <v>8637</v>
      </c>
      <c r="F135" s="733" t="s">
        <v>13461</v>
      </c>
      <c r="H135" s="1"/>
      <c r="J135" s="1"/>
    </row>
    <row r="136" spans="1:10">
      <c r="A136" s="733" t="s">
        <v>827</v>
      </c>
      <c r="B136" s="733" t="s">
        <v>13576</v>
      </c>
      <c r="C136" s="1" t="s">
        <v>13577</v>
      </c>
      <c r="D136" s="7">
        <v>8285</v>
      </c>
      <c r="F136" s="733" t="s">
        <v>13461</v>
      </c>
      <c r="H136" s="1"/>
      <c r="J136" s="1"/>
    </row>
    <row r="137" spans="1:10">
      <c r="A137" s="733" t="s">
        <v>828</v>
      </c>
      <c r="B137" s="733" t="s">
        <v>3622</v>
      </c>
      <c r="C137" s="1" t="s">
        <v>13578</v>
      </c>
      <c r="D137" s="7">
        <v>8608</v>
      </c>
      <c r="F137" s="733" t="s">
        <v>13461</v>
      </c>
      <c r="H137" s="1"/>
      <c r="J137" s="1"/>
    </row>
    <row r="138" spans="1:10">
      <c r="A138" s="733" t="s">
        <v>829</v>
      </c>
      <c r="B138" s="733" t="s">
        <v>13579</v>
      </c>
      <c r="C138" s="1" t="s">
        <v>13580</v>
      </c>
      <c r="D138" s="7">
        <v>8038</v>
      </c>
      <c r="F138" s="733" t="s">
        <v>13461</v>
      </c>
      <c r="H138" s="1"/>
      <c r="J138" s="1"/>
    </row>
    <row r="139" spans="1:10">
      <c r="A139" s="733" t="s">
        <v>830</v>
      </c>
      <c r="B139" s="733" t="s">
        <v>13581</v>
      </c>
      <c r="C139" s="1" t="s">
        <v>13582</v>
      </c>
      <c r="D139" s="7">
        <v>6498</v>
      </c>
      <c r="F139" s="733" t="s">
        <v>13461</v>
      </c>
      <c r="H139" s="1"/>
      <c r="J139" s="1"/>
    </row>
    <row r="140" spans="1:10">
      <c r="A140" s="733" t="s">
        <v>831</v>
      </c>
      <c r="B140" s="733" t="s">
        <v>13583</v>
      </c>
      <c r="C140" s="1" t="s">
        <v>13584</v>
      </c>
      <c r="D140" s="7">
        <v>8724</v>
      </c>
      <c r="F140" s="733" t="s">
        <v>13463</v>
      </c>
      <c r="H140" s="1"/>
      <c r="J140" s="1"/>
    </row>
    <row r="141" spans="1:10">
      <c r="A141" s="733" t="s">
        <v>832</v>
      </c>
      <c r="B141" s="733" t="s">
        <v>4475</v>
      </c>
      <c r="C141" s="1" t="s">
        <v>13585</v>
      </c>
      <c r="D141" s="7">
        <v>8618</v>
      </c>
      <c r="F141" s="733" t="s">
        <v>13463</v>
      </c>
      <c r="H141" s="1"/>
      <c r="J141" s="1"/>
    </row>
    <row r="142" spans="1:10">
      <c r="A142" s="733" t="s">
        <v>833</v>
      </c>
      <c r="B142" s="733" t="s">
        <v>13586</v>
      </c>
      <c r="C142" s="1" t="s">
        <v>13587</v>
      </c>
      <c r="D142" s="7">
        <v>9153</v>
      </c>
      <c r="F142" s="733" t="s">
        <v>13463</v>
      </c>
      <c r="H142" s="1"/>
      <c r="J142" s="1"/>
    </row>
    <row r="143" spans="1:10">
      <c r="A143" s="733" t="s">
        <v>834</v>
      </c>
      <c r="B143" s="733" t="s">
        <v>73</v>
      </c>
      <c r="C143" s="1" t="s">
        <v>13588</v>
      </c>
      <c r="D143" s="7">
        <v>7249</v>
      </c>
      <c r="F143" s="733" t="s">
        <v>13463</v>
      </c>
      <c r="H143" s="1"/>
      <c r="J143" s="1"/>
    </row>
    <row r="144" spans="1:10">
      <c r="A144" s="733" t="s">
        <v>835</v>
      </c>
      <c r="B144" s="733" t="s">
        <v>6709</v>
      </c>
      <c r="C144" s="1" t="s">
        <v>13589</v>
      </c>
      <c r="D144" s="8">
        <v>8444</v>
      </c>
      <c r="F144" s="733" t="s">
        <v>13463</v>
      </c>
      <c r="H144" s="1"/>
      <c r="J144" s="1"/>
    </row>
    <row r="145" spans="1:10">
      <c r="A145" s="733" t="s">
        <v>836</v>
      </c>
      <c r="B145" s="733" t="s">
        <v>13590</v>
      </c>
      <c r="C145" s="1" t="s">
        <v>13591</v>
      </c>
      <c r="D145" s="7">
        <v>7739</v>
      </c>
      <c r="F145" s="733" t="s">
        <v>13461</v>
      </c>
      <c r="H145" s="1"/>
      <c r="J145" s="1"/>
    </row>
    <row r="146" spans="1:10">
      <c r="D146" s="741"/>
    </row>
    <row r="147" spans="1:10">
      <c r="A147" s="733" t="s">
        <v>13461</v>
      </c>
      <c r="D147" s="740">
        <f t="shared" ref="D147" si="31">D130+D131+D133+SUM(D135:D139)+D145</f>
        <v>72060</v>
      </c>
    </row>
    <row r="148" spans="1:10">
      <c r="A148" s="733" t="s">
        <v>13506</v>
      </c>
      <c r="D148" s="740">
        <f t="shared" ref="D148" si="32">D132+D134+SUM(D140:D144)</f>
        <v>58516</v>
      </c>
    </row>
    <row r="149" spans="1:10">
      <c r="A149" s="733"/>
      <c r="D149" s="740"/>
    </row>
    <row r="150" spans="1:10">
      <c r="A150" s="733" t="s">
        <v>13592</v>
      </c>
      <c r="D150" s="740"/>
    </row>
    <row r="151" spans="1:10">
      <c r="A151" s="733"/>
      <c r="B151" s="733"/>
      <c r="D151" s="749"/>
    </row>
    <row r="152" spans="1:10">
      <c r="A152" s="733"/>
      <c r="B152" s="733"/>
      <c r="D152" s="749"/>
    </row>
    <row r="153" spans="1:10">
      <c r="D153" s="10" t="s">
        <v>285</v>
      </c>
      <c r="E153" s="38"/>
      <c r="F153" s="38" t="s">
        <v>4116</v>
      </c>
    </row>
    <row r="154" spans="1:10">
      <c r="D154" s="39">
        <v>2016</v>
      </c>
      <c r="F154" s="41" t="s">
        <v>286</v>
      </c>
    </row>
    <row r="155" spans="1:10">
      <c r="A155" s="733" t="s">
        <v>13593</v>
      </c>
      <c r="D155" s="740">
        <f>SUM(D156:D177)</f>
        <v>198900</v>
      </c>
    </row>
    <row r="156" spans="1:10">
      <c r="A156" s="733" t="s">
        <v>812</v>
      </c>
      <c r="B156" s="733" t="s">
        <v>13594</v>
      </c>
      <c r="C156" s="1" t="s">
        <v>13595</v>
      </c>
      <c r="D156" s="8">
        <v>9540</v>
      </c>
      <c r="F156" s="733" t="s">
        <v>12858</v>
      </c>
      <c r="H156" s="1"/>
      <c r="J156" s="1"/>
    </row>
    <row r="157" spans="1:10">
      <c r="A157" s="733" t="s">
        <v>813</v>
      </c>
      <c r="B157" s="733" t="s">
        <v>13596</v>
      </c>
      <c r="C157" s="1" t="s">
        <v>13597</v>
      </c>
      <c r="D157" s="8">
        <v>9494</v>
      </c>
      <c r="F157" s="733" t="s">
        <v>12858</v>
      </c>
      <c r="H157" s="1"/>
      <c r="J157" s="1"/>
    </row>
    <row r="158" spans="1:10">
      <c r="A158" s="733" t="s">
        <v>814</v>
      </c>
      <c r="B158" s="733" t="s">
        <v>13598</v>
      </c>
      <c r="C158" s="1" t="s">
        <v>13599</v>
      </c>
      <c r="D158" s="7">
        <v>9004</v>
      </c>
      <c r="F158" s="733" t="s">
        <v>13464</v>
      </c>
      <c r="H158" s="1"/>
      <c r="J158" s="1"/>
    </row>
    <row r="159" spans="1:10">
      <c r="A159" s="733" t="s">
        <v>815</v>
      </c>
      <c r="B159" s="733" t="s">
        <v>6767</v>
      </c>
      <c r="C159" s="1" t="s">
        <v>13600</v>
      </c>
      <c r="D159" s="8">
        <v>8945</v>
      </c>
      <c r="F159" s="733" t="s">
        <v>12858</v>
      </c>
      <c r="H159" s="1"/>
      <c r="J159" s="1"/>
    </row>
    <row r="160" spans="1:10">
      <c r="A160" s="733" t="s">
        <v>816</v>
      </c>
      <c r="B160" s="733" t="s">
        <v>12428</v>
      </c>
      <c r="C160" s="1" t="s">
        <v>13601</v>
      </c>
      <c r="D160" s="7">
        <v>8550</v>
      </c>
      <c r="F160" s="733" t="s">
        <v>13452</v>
      </c>
      <c r="H160" s="1"/>
      <c r="J160" s="1"/>
    </row>
    <row r="161" spans="1:10">
      <c r="A161" s="733" t="s">
        <v>826</v>
      </c>
      <c r="B161" s="733" t="s">
        <v>13360</v>
      </c>
      <c r="C161" s="1" t="s">
        <v>13602</v>
      </c>
      <c r="D161" s="7">
        <v>8174</v>
      </c>
      <c r="F161" s="733" t="s">
        <v>13452</v>
      </c>
      <c r="H161" s="1"/>
      <c r="J161" s="1"/>
    </row>
    <row r="162" spans="1:10">
      <c r="A162" s="733" t="s">
        <v>827</v>
      </c>
      <c r="B162" s="733" t="s">
        <v>13603</v>
      </c>
      <c r="C162" s="1" t="s">
        <v>13604</v>
      </c>
      <c r="D162" s="8">
        <v>9181</v>
      </c>
      <c r="F162" s="733" t="s">
        <v>12858</v>
      </c>
      <c r="H162" s="1"/>
      <c r="J162" s="1"/>
    </row>
    <row r="163" spans="1:10">
      <c r="A163" s="733" t="s">
        <v>828</v>
      </c>
      <c r="B163" s="733" t="s">
        <v>13605</v>
      </c>
      <c r="C163" s="1" t="s">
        <v>13606</v>
      </c>
      <c r="D163" s="7">
        <v>8599</v>
      </c>
      <c r="F163" s="733" t="s">
        <v>13452</v>
      </c>
      <c r="H163" s="1"/>
      <c r="J163" s="1"/>
    </row>
    <row r="164" spans="1:10">
      <c r="A164" s="733" t="s">
        <v>829</v>
      </c>
      <c r="B164" s="733" t="s">
        <v>13607</v>
      </c>
      <c r="C164" s="1" t="s">
        <v>13608</v>
      </c>
      <c r="D164" s="7">
        <v>9560</v>
      </c>
      <c r="F164" s="733" t="s">
        <v>13464</v>
      </c>
      <c r="H164" s="1"/>
      <c r="J164" s="1"/>
    </row>
    <row r="165" spans="1:10">
      <c r="A165" s="733" t="s">
        <v>830</v>
      </c>
      <c r="B165" s="733" t="s">
        <v>10314</v>
      </c>
      <c r="C165" s="1" t="s">
        <v>13609</v>
      </c>
      <c r="D165" s="8">
        <v>8901</v>
      </c>
      <c r="F165" s="733" t="s">
        <v>12858</v>
      </c>
      <c r="H165" s="1"/>
      <c r="J165" s="1"/>
    </row>
    <row r="166" spans="1:10">
      <c r="A166" s="733" t="s">
        <v>831</v>
      </c>
      <c r="B166" s="733" t="s">
        <v>4265</v>
      </c>
      <c r="C166" s="1" t="s">
        <v>13610</v>
      </c>
      <c r="D166" s="7">
        <v>7423</v>
      </c>
      <c r="F166" s="733" t="s">
        <v>13452</v>
      </c>
      <c r="H166" s="1"/>
      <c r="J166" s="1"/>
    </row>
    <row r="167" spans="1:10">
      <c r="A167" s="733" t="s">
        <v>832</v>
      </c>
      <c r="B167" s="733" t="s">
        <v>13611</v>
      </c>
      <c r="C167" s="1" t="s">
        <v>13612</v>
      </c>
      <c r="D167" s="7">
        <v>7977</v>
      </c>
      <c r="F167" s="733" t="s">
        <v>13452</v>
      </c>
      <c r="H167" s="1"/>
      <c r="J167" s="1"/>
    </row>
    <row r="168" spans="1:10">
      <c r="A168" s="733" t="s">
        <v>833</v>
      </c>
      <c r="B168" s="733" t="s">
        <v>3050</v>
      </c>
      <c r="C168" s="1" t="s">
        <v>13613</v>
      </c>
      <c r="D168" s="7">
        <v>9574</v>
      </c>
      <c r="F168" s="733" t="s">
        <v>13464</v>
      </c>
      <c r="H168" s="1"/>
      <c r="J168" s="1"/>
    </row>
    <row r="169" spans="1:10">
      <c r="A169" s="733" t="s">
        <v>834</v>
      </c>
      <c r="B169" s="733" t="s">
        <v>13614</v>
      </c>
      <c r="C169" s="1" t="s">
        <v>13615</v>
      </c>
      <c r="D169" s="8">
        <v>9528</v>
      </c>
      <c r="F169" s="733" t="s">
        <v>12858</v>
      </c>
      <c r="H169" s="1"/>
      <c r="J169" s="1"/>
    </row>
    <row r="170" spans="1:10">
      <c r="A170" s="733" t="s">
        <v>835</v>
      </c>
      <c r="B170" s="733" t="s">
        <v>13616</v>
      </c>
      <c r="C170" s="1" t="s">
        <v>13617</v>
      </c>
      <c r="D170" s="7">
        <v>9766</v>
      </c>
      <c r="F170" s="733" t="s">
        <v>13464</v>
      </c>
      <c r="H170" s="1"/>
      <c r="J170" s="1"/>
    </row>
    <row r="171" spans="1:10">
      <c r="A171" s="733" t="s">
        <v>836</v>
      </c>
      <c r="B171" s="733" t="s">
        <v>13618</v>
      </c>
      <c r="C171" s="1" t="s">
        <v>13619</v>
      </c>
      <c r="D171" s="7">
        <v>8847</v>
      </c>
      <c r="F171" s="733" t="s">
        <v>13452</v>
      </c>
      <c r="H171" s="1"/>
      <c r="J171" s="1"/>
    </row>
    <row r="172" spans="1:10">
      <c r="A172" s="733" t="s">
        <v>837</v>
      </c>
      <c r="B172" s="733" t="s">
        <v>13620</v>
      </c>
      <c r="C172" s="1" t="s">
        <v>13621</v>
      </c>
      <c r="D172" s="8">
        <v>9492</v>
      </c>
      <c r="F172" s="733" t="s">
        <v>12858</v>
      </c>
      <c r="H172" s="1"/>
      <c r="J172" s="1"/>
    </row>
    <row r="173" spans="1:10">
      <c r="A173" s="733" t="s">
        <v>838</v>
      </c>
      <c r="B173" s="733" t="s">
        <v>303</v>
      </c>
      <c r="C173" s="1" t="s">
        <v>13622</v>
      </c>
      <c r="D173" s="7">
        <v>9456</v>
      </c>
      <c r="F173" s="733" t="s">
        <v>13464</v>
      </c>
      <c r="H173" s="1"/>
      <c r="J173" s="1"/>
    </row>
    <row r="174" spans="1:10">
      <c r="A174" s="733" t="s">
        <v>840</v>
      </c>
      <c r="B174" s="733" t="s">
        <v>13623</v>
      </c>
      <c r="C174" s="1" t="s">
        <v>13624</v>
      </c>
      <c r="D174" s="7">
        <v>9162</v>
      </c>
      <c r="F174" s="733" t="s">
        <v>13464</v>
      </c>
      <c r="H174" s="1"/>
      <c r="J174" s="1"/>
    </row>
    <row r="175" spans="1:10">
      <c r="A175" s="733" t="s">
        <v>841</v>
      </c>
      <c r="B175" s="733" t="s">
        <v>2604</v>
      </c>
      <c r="C175" s="1" t="s">
        <v>13625</v>
      </c>
      <c r="D175" s="7">
        <v>7871</v>
      </c>
      <c r="F175" s="733" t="s">
        <v>13452</v>
      </c>
      <c r="H175" s="1"/>
      <c r="J175" s="1"/>
    </row>
    <row r="176" spans="1:10">
      <c r="A176" s="733" t="s">
        <v>878</v>
      </c>
      <c r="B176" s="733" t="s">
        <v>12899</v>
      </c>
      <c r="C176" s="1" t="s">
        <v>13626</v>
      </c>
      <c r="D176" s="7">
        <v>9686</v>
      </c>
      <c r="F176" s="733" t="s">
        <v>13464</v>
      </c>
      <c r="H176" s="1"/>
      <c r="J176" s="1"/>
    </row>
    <row r="177" spans="1:10">
      <c r="A177" s="733" t="s">
        <v>879</v>
      </c>
      <c r="B177" s="733" t="s">
        <v>5586</v>
      </c>
      <c r="C177" s="1" t="s">
        <v>13627</v>
      </c>
      <c r="D177" s="7">
        <v>10170</v>
      </c>
      <c r="F177" s="733" t="s">
        <v>13464</v>
      </c>
      <c r="H177" s="1"/>
      <c r="J177" s="1"/>
    </row>
    <row r="178" spans="1:10">
      <c r="A178" s="733"/>
    </row>
    <row r="179" spans="1:10">
      <c r="A179" s="733" t="s">
        <v>13562</v>
      </c>
      <c r="D179" s="740">
        <f>D160+D161+D163+D166+D167+D171+D175</f>
        <v>57441</v>
      </c>
    </row>
    <row r="180" spans="1:10">
      <c r="A180" s="733" t="s">
        <v>13464</v>
      </c>
      <c r="D180" s="740">
        <f>D158+D164+D168+D170+D173+D174+D176+D177</f>
        <v>76378</v>
      </c>
    </row>
    <row r="181" spans="1:10">
      <c r="A181" s="733" t="s">
        <v>13394</v>
      </c>
      <c r="D181" s="740">
        <f t="shared" ref="D181" si="33">D156+D157+D159+D162+D165+D169+D172</f>
        <v>65081</v>
      </c>
    </row>
    <row r="183" spans="1:10">
      <c r="A183" s="738" t="s">
        <v>13628</v>
      </c>
    </row>
    <row r="186" spans="1:10">
      <c r="D186" s="10" t="s">
        <v>285</v>
      </c>
      <c r="E186" s="38"/>
      <c r="F186" s="38" t="s">
        <v>4116</v>
      </c>
    </row>
    <row r="187" spans="1:10">
      <c r="D187" s="39">
        <v>2016</v>
      </c>
      <c r="F187" s="41" t="s">
        <v>286</v>
      </c>
    </row>
    <row r="188" spans="1:10">
      <c r="A188" s="733" t="s">
        <v>13629</v>
      </c>
      <c r="D188" s="740">
        <f t="shared" ref="D188" si="34">SUM(D189:D210)</f>
        <v>234989</v>
      </c>
    </row>
    <row r="189" spans="1:10">
      <c r="A189" s="733" t="s">
        <v>812</v>
      </c>
      <c r="B189" s="733" t="s">
        <v>13630</v>
      </c>
      <c r="C189" s="1" t="s">
        <v>13631</v>
      </c>
      <c r="D189" s="7">
        <v>11827</v>
      </c>
      <c r="F189" s="733" t="s">
        <v>13451</v>
      </c>
      <c r="H189" s="1"/>
      <c r="J189" s="1"/>
    </row>
    <row r="190" spans="1:10">
      <c r="A190" s="733" t="s">
        <v>813</v>
      </c>
      <c r="B190" s="733" t="s">
        <v>13632</v>
      </c>
      <c r="C190" s="1" t="s">
        <v>13633</v>
      </c>
      <c r="D190" s="7">
        <v>9694</v>
      </c>
      <c r="F190" s="733" t="s">
        <v>13451</v>
      </c>
      <c r="H190" s="1"/>
      <c r="J190" s="1"/>
    </row>
    <row r="191" spans="1:10">
      <c r="A191" s="733" t="s">
        <v>814</v>
      </c>
      <c r="B191" s="733" t="s">
        <v>13634</v>
      </c>
      <c r="C191" s="1" t="s">
        <v>13635</v>
      </c>
      <c r="D191" s="7">
        <v>9305</v>
      </c>
      <c r="F191" s="733" t="s">
        <v>13451</v>
      </c>
      <c r="H191" s="1"/>
      <c r="J191" s="1"/>
    </row>
    <row r="192" spans="1:10">
      <c r="A192" s="733" t="s">
        <v>815</v>
      </c>
      <c r="B192" s="733" t="s">
        <v>13636</v>
      </c>
      <c r="C192" s="1" t="s">
        <v>13637</v>
      </c>
      <c r="D192" s="7">
        <v>11158</v>
      </c>
      <c r="F192" s="733" t="s">
        <v>13450</v>
      </c>
      <c r="H192" s="1"/>
      <c r="J192" s="1"/>
    </row>
    <row r="193" spans="1:10">
      <c r="A193" s="733" t="s">
        <v>816</v>
      </c>
      <c r="B193" s="733" t="s">
        <v>13638</v>
      </c>
      <c r="C193" s="1" t="s">
        <v>13639</v>
      </c>
      <c r="D193" s="7">
        <v>11460</v>
      </c>
      <c r="F193" s="733" t="s">
        <v>13450</v>
      </c>
      <c r="H193" s="1"/>
      <c r="J193" s="1"/>
    </row>
    <row r="194" spans="1:10">
      <c r="A194" s="733" t="s">
        <v>826</v>
      </c>
      <c r="B194" s="733" t="s">
        <v>13640</v>
      </c>
      <c r="C194" s="1" t="s">
        <v>13641</v>
      </c>
      <c r="D194" s="7">
        <v>11035</v>
      </c>
      <c r="F194" s="733" t="s">
        <v>13451</v>
      </c>
      <c r="H194" s="1"/>
      <c r="J194" s="1"/>
    </row>
    <row r="195" spans="1:10">
      <c r="A195" s="733" t="s">
        <v>827</v>
      </c>
      <c r="B195" s="733" t="s">
        <v>13642</v>
      </c>
      <c r="C195" s="1" t="s">
        <v>13643</v>
      </c>
      <c r="D195" s="8">
        <v>10872</v>
      </c>
      <c r="F195" s="688" t="s">
        <v>11709</v>
      </c>
      <c r="H195" s="1"/>
      <c r="J195" s="1"/>
    </row>
    <row r="196" spans="1:10">
      <c r="A196" s="733" t="s">
        <v>828</v>
      </c>
      <c r="B196" s="733" t="s">
        <v>13644</v>
      </c>
      <c r="C196" s="1" t="s">
        <v>13645</v>
      </c>
      <c r="D196" s="8">
        <v>11342</v>
      </c>
      <c r="F196" s="733" t="s">
        <v>13450</v>
      </c>
      <c r="H196" s="1"/>
      <c r="J196" s="1"/>
    </row>
    <row r="197" spans="1:10">
      <c r="A197" s="733" t="s">
        <v>829</v>
      </c>
      <c r="B197" s="733" t="s">
        <v>13646</v>
      </c>
      <c r="C197" s="1" t="s">
        <v>13647</v>
      </c>
      <c r="D197" s="8">
        <v>10655</v>
      </c>
      <c r="F197" s="733" t="s">
        <v>13450</v>
      </c>
      <c r="H197" s="1"/>
      <c r="J197" s="1"/>
    </row>
    <row r="198" spans="1:10">
      <c r="A198" s="733" t="s">
        <v>830</v>
      </c>
      <c r="B198" s="733" t="s">
        <v>13648</v>
      </c>
      <c r="C198" s="1" t="s">
        <v>13649</v>
      </c>
      <c r="D198" s="8">
        <v>10300</v>
      </c>
      <c r="F198" s="733" t="s">
        <v>13450</v>
      </c>
      <c r="H198" s="1"/>
      <c r="J198" s="1"/>
    </row>
    <row r="199" spans="1:10">
      <c r="A199" s="733" t="s">
        <v>831</v>
      </c>
      <c r="B199" s="733" t="s">
        <v>13650</v>
      </c>
      <c r="C199" s="1" t="s">
        <v>13651</v>
      </c>
      <c r="D199" s="7">
        <v>10480</v>
      </c>
      <c r="F199" s="733" t="s">
        <v>13465</v>
      </c>
      <c r="H199" s="1"/>
      <c r="J199" s="1"/>
    </row>
    <row r="200" spans="1:10">
      <c r="A200" s="733" t="s">
        <v>832</v>
      </c>
      <c r="B200" s="733" t="s">
        <v>13652</v>
      </c>
      <c r="C200" s="1" t="s">
        <v>13653</v>
      </c>
      <c r="D200" s="7">
        <v>10730</v>
      </c>
      <c r="F200" s="733" t="s">
        <v>13465</v>
      </c>
      <c r="H200" s="1"/>
      <c r="J200" s="1"/>
    </row>
    <row r="201" spans="1:10">
      <c r="A201" s="733" t="s">
        <v>833</v>
      </c>
      <c r="B201" s="733" t="s">
        <v>13654</v>
      </c>
      <c r="C201" s="1" t="s">
        <v>13655</v>
      </c>
      <c r="D201" s="7">
        <v>10563</v>
      </c>
      <c r="F201" s="733" t="s">
        <v>13465</v>
      </c>
      <c r="H201" s="1"/>
      <c r="J201" s="1"/>
    </row>
    <row r="202" spans="1:10">
      <c r="A202" s="733" t="s">
        <v>834</v>
      </c>
      <c r="B202" s="733" t="s">
        <v>13656</v>
      </c>
      <c r="C202" s="1" t="s">
        <v>13657</v>
      </c>
      <c r="D202" s="7">
        <v>10685</v>
      </c>
      <c r="F202" s="733" t="s">
        <v>13465</v>
      </c>
      <c r="H202" s="1"/>
      <c r="J202" s="1"/>
    </row>
    <row r="203" spans="1:10">
      <c r="A203" s="733" t="s">
        <v>835</v>
      </c>
      <c r="B203" s="733" t="s">
        <v>13658</v>
      </c>
      <c r="C203" s="1" t="s">
        <v>13659</v>
      </c>
      <c r="D203" s="7">
        <v>10866</v>
      </c>
      <c r="F203" s="733" t="s">
        <v>13451</v>
      </c>
      <c r="H203" s="1"/>
      <c r="J203" s="1"/>
    </row>
    <row r="204" spans="1:10">
      <c r="A204" s="733" t="s">
        <v>836</v>
      </c>
      <c r="B204" s="733" t="s">
        <v>13660</v>
      </c>
      <c r="C204" s="1" t="s">
        <v>13661</v>
      </c>
      <c r="D204" s="8">
        <v>10319</v>
      </c>
      <c r="F204" s="733" t="s">
        <v>13450</v>
      </c>
      <c r="H204" s="1"/>
      <c r="J204" s="1"/>
    </row>
    <row r="205" spans="1:10">
      <c r="A205" s="733" t="s">
        <v>837</v>
      </c>
      <c r="B205" s="733" t="s">
        <v>13662</v>
      </c>
      <c r="C205" s="1" t="s">
        <v>13663</v>
      </c>
      <c r="D205" s="7">
        <v>10604</v>
      </c>
      <c r="F205" s="733" t="s">
        <v>13451</v>
      </c>
      <c r="H205" s="1"/>
      <c r="J205" s="1"/>
    </row>
    <row r="206" spans="1:10">
      <c r="A206" s="733" t="s">
        <v>838</v>
      </c>
      <c r="B206" s="733" t="s">
        <v>13664</v>
      </c>
      <c r="C206" s="1" t="s">
        <v>13665</v>
      </c>
      <c r="D206" s="7">
        <v>9341</v>
      </c>
      <c r="F206" s="733" t="s">
        <v>13451</v>
      </c>
      <c r="H206" s="1"/>
      <c r="J206" s="1"/>
    </row>
    <row r="207" spans="1:10">
      <c r="A207" s="733" t="s">
        <v>840</v>
      </c>
      <c r="B207" s="733" t="s">
        <v>13666</v>
      </c>
      <c r="C207" s="1" t="s">
        <v>13667</v>
      </c>
      <c r="D207" s="7">
        <v>9869</v>
      </c>
      <c r="F207" s="733" t="s">
        <v>13465</v>
      </c>
      <c r="H207" s="1"/>
      <c r="J207" s="1"/>
    </row>
    <row r="208" spans="1:10">
      <c r="A208" s="733" t="s">
        <v>841</v>
      </c>
      <c r="B208" s="733" t="s">
        <v>5493</v>
      </c>
      <c r="C208" s="1" t="s">
        <v>13668</v>
      </c>
      <c r="D208" s="8">
        <v>12112</v>
      </c>
      <c r="F208" s="733" t="s">
        <v>13465</v>
      </c>
      <c r="H208" s="1"/>
      <c r="J208" s="1"/>
    </row>
    <row r="209" spans="1:10">
      <c r="A209" s="733" t="s">
        <v>878</v>
      </c>
      <c r="B209" s="733" t="s">
        <v>13669</v>
      </c>
      <c r="C209" s="1" t="s">
        <v>13670</v>
      </c>
      <c r="D209" s="7">
        <v>11613</v>
      </c>
      <c r="F209" s="733" t="s">
        <v>13465</v>
      </c>
      <c r="H209" s="1"/>
      <c r="J209" s="1"/>
    </row>
    <row r="210" spans="1:10">
      <c r="A210" s="733" t="s">
        <v>879</v>
      </c>
      <c r="B210" s="733" t="s">
        <v>13671</v>
      </c>
      <c r="C210" s="1" t="s">
        <v>13672</v>
      </c>
      <c r="D210" s="8">
        <v>10159</v>
      </c>
      <c r="F210" s="733" t="s">
        <v>13450</v>
      </c>
      <c r="H210" s="1"/>
      <c r="J210" s="1"/>
    </row>
    <row r="211" spans="1:10">
      <c r="D211" s="741"/>
    </row>
    <row r="212" spans="1:10">
      <c r="A212" s="733" t="s">
        <v>13450</v>
      </c>
      <c r="D212" s="740">
        <f>D192+D193+SUM(D196:D198)+D204+D210</f>
        <v>75393</v>
      </c>
    </row>
    <row r="213" spans="1:10">
      <c r="A213" s="733" t="s">
        <v>13451</v>
      </c>
      <c r="D213" s="740">
        <f>SUM(D189:D191)+D194+D203+D205+D206</f>
        <v>72672</v>
      </c>
    </row>
    <row r="214" spans="1:10">
      <c r="A214" s="688" t="s">
        <v>13673</v>
      </c>
      <c r="D214" s="740">
        <f>D195</f>
        <v>10872</v>
      </c>
    </row>
    <row r="215" spans="1:10">
      <c r="A215" s="733" t="s">
        <v>13465</v>
      </c>
      <c r="D215" s="740">
        <f>SUM(D199:D202)+SUM(D207:D209)</f>
        <v>76052</v>
      </c>
    </row>
    <row r="217" spans="1:10">
      <c r="A217" s="738" t="s">
        <v>13674</v>
      </c>
    </row>
  </sheetData>
  <printOptions gridLinesSet="0"/>
  <pageMargins left="0.78740157480314965" right="0" top="0.51181102362204722" bottom="0.51181102362204722" header="0.51181102362204722" footer="0.51181102362204722"/>
  <pageSetup paperSize="9" scale="58" orientation="portrait" horizontalDpi="300" verticalDpi="300" r:id="rId1"/>
  <headerFooter alignWithMargins="0">
    <oddFooter>&amp;C&amp;"Times New Roman,Regular"&amp;8&amp;P of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8"/>
  <sheetViews>
    <sheetView showGridLines="0" zoomScaleNormal="100" workbookViewId="0"/>
  </sheetViews>
  <sheetFormatPr defaultColWidth="12.59765625" defaultRowHeight="14.5"/>
  <cols>
    <col min="1" max="1" width="4.8984375" style="586" customWidth="1"/>
    <col min="2" max="2" width="40.59765625" style="586" customWidth="1"/>
    <col min="3" max="3" width="11.09765625" style="586" customWidth="1"/>
    <col min="4" max="4" width="10" style="586" customWidth="1"/>
    <col min="5" max="5" width="2.296875" style="586" customWidth="1"/>
    <col min="6" max="6" width="35.69921875" style="586" customWidth="1"/>
    <col min="7" max="16384" width="12.59765625" style="586"/>
  </cols>
  <sheetData>
    <row r="1" spans="1:6">
      <c r="A1" s="585" t="s">
        <v>9176</v>
      </c>
      <c r="D1" s="587">
        <v>2016</v>
      </c>
    </row>
    <row r="3" spans="1:6">
      <c r="A3" s="585" t="s">
        <v>10163</v>
      </c>
      <c r="D3" s="588">
        <f t="shared" ref="D3" si="0">SUM(D26:D45)</f>
        <v>129825</v>
      </c>
    </row>
    <row r="5" spans="1:6">
      <c r="A5" s="585" t="s">
        <v>10164</v>
      </c>
      <c r="D5" s="588">
        <f>SUM(D26:D30)+D33+D34+D37+D39+D40+D42+D44</f>
        <v>77100</v>
      </c>
      <c r="F5" s="585" t="s">
        <v>9503</v>
      </c>
    </row>
    <row r="6" spans="1:6">
      <c r="A6" s="585"/>
      <c r="D6" s="588"/>
      <c r="F6" s="585"/>
    </row>
    <row r="7" spans="1:6">
      <c r="A7" s="469" t="s">
        <v>9501</v>
      </c>
      <c r="D7" s="588">
        <f>CROYDON!D17</f>
        <v>9766</v>
      </c>
      <c r="F7" s="585" t="s">
        <v>9360</v>
      </c>
    </row>
    <row r="8" spans="1:6">
      <c r="A8" s="585"/>
      <c r="D8" s="588">
        <f>LAMBETH!D24</f>
        <v>43394</v>
      </c>
      <c r="F8" s="585" t="s">
        <v>9502</v>
      </c>
    </row>
    <row r="9" spans="1:6" ht="15" thickBot="1">
      <c r="A9" s="585"/>
      <c r="D9" s="589">
        <f>D31+D35+D38</f>
        <v>20765</v>
      </c>
      <c r="F9" s="585" t="s">
        <v>9503</v>
      </c>
    </row>
    <row r="10" spans="1:6" ht="15" thickBot="1">
      <c r="A10" s="585"/>
      <c r="D10" s="590">
        <f>SUM(D7:D9)</f>
        <v>73925</v>
      </c>
      <c r="F10" s="585"/>
    </row>
    <row r="11" spans="1:6">
      <c r="A11" s="585"/>
      <c r="D11" s="588"/>
      <c r="F11" s="585"/>
    </row>
    <row r="12" spans="1:6">
      <c r="A12" s="591" t="s">
        <v>10165</v>
      </c>
      <c r="D12" s="588">
        <f>D36+D41</f>
        <v>13433</v>
      </c>
      <c r="F12" s="585" t="s">
        <v>9503</v>
      </c>
    </row>
    <row r="13" spans="1:6" ht="15" thickBot="1">
      <c r="A13" s="585"/>
      <c r="D13" s="589">
        <f>SUTTON!D8</f>
        <v>60425</v>
      </c>
      <c r="F13" s="585" t="s">
        <v>10166</v>
      </c>
    </row>
    <row r="14" spans="1:6" ht="15" thickBot="1">
      <c r="A14" s="585"/>
      <c r="D14" s="590">
        <f>D12+D13</f>
        <v>73858</v>
      </c>
      <c r="F14" s="585"/>
    </row>
    <row r="15" spans="1:6">
      <c r="A15" s="585"/>
      <c r="D15" s="588"/>
      <c r="F15" s="585"/>
    </row>
    <row r="16" spans="1:6">
      <c r="A16" s="592" t="s">
        <v>10167</v>
      </c>
      <c r="D16" s="588">
        <f>D32</f>
        <v>5860</v>
      </c>
      <c r="F16" s="585" t="s">
        <v>9503</v>
      </c>
    </row>
    <row r="17" spans="1:11" ht="15" thickBot="1">
      <c r="A17" s="585"/>
      <c r="D17" s="589">
        <f>WANDSWORTH!D10</f>
        <v>71428</v>
      </c>
      <c r="F17" s="592" t="s">
        <v>10077</v>
      </c>
    </row>
    <row r="18" spans="1:11" ht="15" thickBot="1">
      <c r="A18" s="585"/>
      <c r="D18" s="590">
        <f>D16+D17</f>
        <v>77288</v>
      </c>
      <c r="F18" s="585"/>
    </row>
    <row r="19" spans="1:11">
      <c r="D19" s="593"/>
    </row>
    <row r="20" spans="1:11">
      <c r="A20" s="585" t="s">
        <v>10168</v>
      </c>
      <c r="D20" s="588">
        <f>D43+D45</f>
        <v>12667</v>
      </c>
      <c r="F20" s="585" t="s">
        <v>9503</v>
      </c>
    </row>
    <row r="21" spans="1:11" ht="15" thickBot="1">
      <c r="A21" s="585"/>
      <c r="D21" s="589">
        <f>WANDSWORTH!D14</f>
        <v>59822</v>
      </c>
      <c r="F21" s="592" t="s">
        <v>10077</v>
      </c>
    </row>
    <row r="22" spans="1:11" ht="15" thickBot="1">
      <c r="A22" s="585"/>
      <c r="D22" s="589">
        <f>D20+D21</f>
        <v>72489</v>
      </c>
      <c r="F22" s="585"/>
    </row>
    <row r="23" spans="1:11">
      <c r="D23" s="593"/>
    </row>
    <row r="24" spans="1:11">
      <c r="A24" s="585" t="s">
        <v>1041</v>
      </c>
      <c r="D24" s="588">
        <f>D5+D9+D12+D16+D20</f>
        <v>129825</v>
      </c>
    </row>
    <row r="25" spans="1:11">
      <c r="D25" s="593"/>
    </row>
    <row r="26" spans="1:11">
      <c r="A26" s="585" t="s">
        <v>812</v>
      </c>
      <c r="B26" s="585" t="s">
        <v>998</v>
      </c>
      <c r="C26" s="292" t="s">
        <v>10169</v>
      </c>
      <c r="D26" s="316">
        <v>6376</v>
      </c>
      <c r="F26" s="585" t="s">
        <v>10164</v>
      </c>
      <c r="I26" s="292"/>
      <c r="K26" s="292"/>
    </row>
    <row r="27" spans="1:11">
      <c r="A27" s="585" t="s">
        <v>813</v>
      </c>
      <c r="B27" s="585" t="s">
        <v>10170</v>
      </c>
      <c r="C27" s="292" t="s">
        <v>10171</v>
      </c>
      <c r="D27" s="316">
        <v>6559</v>
      </c>
      <c r="F27" s="585" t="s">
        <v>10164</v>
      </c>
      <c r="I27" s="292"/>
      <c r="K27" s="292"/>
    </row>
    <row r="28" spans="1:11">
      <c r="A28" s="585" t="s">
        <v>814</v>
      </c>
      <c r="B28" s="585" t="s">
        <v>10172</v>
      </c>
      <c r="C28" s="292" t="s">
        <v>10173</v>
      </c>
      <c r="D28" s="316">
        <v>6511</v>
      </c>
      <c r="F28" s="585" t="s">
        <v>10164</v>
      </c>
      <c r="I28" s="292"/>
      <c r="K28" s="292"/>
    </row>
    <row r="29" spans="1:11">
      <c r="A29" s="585" t="s">
        <v>815</v>
      </c>
      <c r="B29" s="585" t="s">
        <v>10174</v>
      </c>
      <c r="C29" s="292" t="s">
        <v>10175</v>
      </c>
      <c r="D29" s="316">
        <v>7142</v>
      </c>
      <c r="F29" s="585" t="s">
        <v>10164</v>
      </c>
      <c r="I29" s="292"/>
      <c r="K29" s="292"/>
    </row>
    <row r="30" spans="1:11">
      <c r="A30" s="585" t="s">
        <v>816</v>
      </c>
      <c r="B30" s="585" t="s">
        <v>10176</v>
      </c>
      <c r="C30" s="292" t="s">
        <v>10177</v>
      </c>
      <c r="D30" s="316">
        <v>6046</v>
      </c>
      <c r="F30" s="585" t="s">
        <v>10164</v>
      </c>
      <c r="I30" s="292"/>
      <c r="K30" s="292"/>
    </row>
    <row r="31" spans="1:11">
      <c r="A31" s="585" t="s">
        <v>826</v>
      </c>
      <c r="B31" s="585" t="s">
        <v>10178</v>
      </c>
      <c r="C31" s="292" t="s">
        <v>10179</v>
      </c>
      <c r="D31" s="316">
        <v>6997</v>
      </c>
      <c r="F31" s="469" t="s">
        <v>9501</v>
      </c>
      <c r="I31" s="292"/>
      <c r="K31" s="292"/>
    </row>
    <row r="32" spans="1:11">
      <c r="A32" s="585" t="s">
        <v>827</v>
      </c>
      <c r="B32" s="585" t="s">
        <v>10180</v>
      </c>
      <c r="C32" s="292" t="s">
        <v>10181</v>
      </c>
      <c r="D32" s="316">
        <v>5860</v>
      </c>
      <c r="F32" s="592" t="s">
        <v>10167</v>
      </c>
      <c r="I32" s="292"/>
      <c r="K32" s="292"/>
    </row>
    <row r="33" spans="1:11">
      <c r="A33" s="585" t="s">
        <v>828</v>
      </c>
      <c r="B33" s="585" t="s">
        <v>10182</v>
      </c>
      <c r="C33" s="292" t="s">
        <v>10183</v>
      </c>
      <c r="D33" s="316">
        <v>5666</v>
      </c>
      <c r="F33" s="585" t="s">
        <v>10164</v>
      </c>
      <c r="I33" s="292"/>
      <c r="K33" s="292"/>
    </row>
    <row r="34" spans="1:11">
      <c r="A34" s="585" t="s">
        <v>829</v>
      </c>
      <c r="B34" s="585" t="s">
        <v>10184</v>
      </c>
      <c r="C34" s="292" t="s">
        <v>10185</v>
      </c>
      <c r="D34" s="316">
        <v>6198</v>
      </c>
      <c r="F34" s="585" t="s">
        <v>10164</v>
      </c>
      <c r="I34" s="292"/>
      <c r="K34" s="292"/>
    </row>
    <row r="35" spans="1:11">
      <c r="A35" s="585" t="s">
        <v>830</v>
      </c>
      <c r="B35" s="585" t="s">
        <v>10186</v>
      </c>
      <c r="C35" s="292" t="s">
        <v>10187</v>
      </c>
      <c r="D35" s="316">
        <v>6583</v>
      </c>
      <c r="F35" s="469" t="s">
        <v>9501</v>
      </c>
      <c r="I35" s="292"/>
      <c r="K35" s="292"/>
    </row>
    <row r="36" spans="1:11">
      <c r="A36" s="585" t="s">
        <v>831</v>
      </c>
      <c r="B36" s="585" t="s">
        <v>10188</v>
      </c>
      <c r="C36" s="292" t="s">
        <v>10189</v>
      </c>
      <c r="D36" s="316">
        <v>6491</v>
      </c>
      <c r="F36" s="591" t="s">
        <v>10165</v>
      </c>
      <c r="I36" s="292"/>
      <c r="K36" s="292"/>
    </row>
    <row r="37" spans="1:11">
      <c r="A37" s="585" t="s">
        <v>832</v>
      </c>
      <c r="B37" s="585" t="s">
        <v>10190</v>
      </c>
      <c r="C37" s="292" t="s">
        <v>10191</v>
      </c>
      <c r="D37" s="316">
        <v>6329</v>
      </c>
      <c r="F37" s="585" t="s">
        <v>10164</v>
      </c>
      <c r="I37" s="292"/>
      <c r="K37" s="292"/>
    </row>
    <row r="38" spans="1:11">
      <c r="A38" s="585" t="s">
        <v>833</v>
      </c>
      <c r="B38" s="585" t="s">
        <v>10192</v>
      </c>
      <c r="C38" s="292" t="s">
        <v>10193</v>
      </c>
      <c r="D38" s="316">
        <v>7185</v>
      </c>
      <c r="F38" s="469" t="s">
        <v>9501</v>
      </c>
      <c r="I38" s="292"/>
      <c r="K38" s="292"/>
    </row>
    <row r="39" spans="1:11">
      <c r="A39" s="585" t="s">
        <v>834</v>
      </c>
      <c r="B39" s="585" t="s">
        <v>10194</v>
      </c>
      <c r="C39" s="292" t="s">
        <v>10195</v>
      </c>
      <c r="D39" s="316">
        <v>6411</v>
      </c>
      <c r="F39" s="585" t="s">
        <v>10164</v>
      </c>
      <c r="I39" s="292"/>
      <c r="K39" s="292"/>
    </row>
    <row r="40" spans="1:11">
      <c r="A40" s="585" t="s">
        <v>835</v>
      </c>
      <c r="B40" s="585" t="s">
        <v>10196</v>
      </c>
      <c r="C40" s="292" t="s">
        <v>10197</v>
      </c>
      <c r="D40" s="316">
        <v>6607</v>
      </c>
      <c r="F40" s="585" t="s">
        <v>10164</v>
      </c>
      <c r="I40" s="292"/>
      <c r="K40" s="292"/>
    </row>
    <row r="41" spans="1:11">
      <c r="A41" s="585" t="s">
        <v>836</v>
      </c>
      <c r="B41" s="585" t="s">
        <v>10198</v>
      </c>
      <c r="C41" s="292" t="s">
        <v>10199</v>
      </c>
      <c r="D41" s="316">
        <v>6942</v>
      </c>
      <c r="F41" s="585" t="s">
        <v>10165</v>
      </c>
      <c r="I41" s="292"/>
      <c r="K41" s="292"/>
    </row>
    <row r="42" spans="1:11">
      <c r="A42" s="585" t="s">
        <v>837</v>
      </c>
      <c r="B42" s="585" t="s">
        <v>679</v>
      </c>
      <c r="C42" s="292" t="s">
        <v>10200</v>
      </c>
      <c r="D42" s="316">
        <v>6424</v>
      </c>
      <c r="F42" s="585" t="s">
        <v>10164</v>
      </c>
      <c r="I42" s="292"/>
      <c r="K42" s="292"/>
    </row>
    <row r="43" spans="1:11">
      <c r="A43" s="585" t="s">
        <v>838</v>
      </c>
      <c r="B43" s="585" t="s">
        <v>6189</v>
      </c>
      <c r="C43" s="292" t="s">
        <v>10201</v>
      </c>
      <c r="D43" s="316">
        <v>5633</v>
      </c>
      <c r="F43" s="585" t="s">
        <v>10168</v>
      </c>
      <c r="I43" s="292"/>
      <c r="K43" s="292"/>
    </row>
    <row r="44" spans="1:11">
      <c r="A44" s="585" t="s">
        <v>840</v>
      </c>
      <c r="B44" s="585" t="s">
        <v>10202</v>
      </c>
      <c r="C44" s="292" t="s">
        <v>10203</v>
      </c>
      <c r="D44" s="316">
        <v>6831</v>
      </c>
      <c r="F44" s="585" t="s">
        <v>10164</v>
      </c>
      <c r="I44" s="292"/>
      <c r="K44" s="292"/>
    </row>
    <row r="45" spans="1:11">
      <c r="A45" s="585" t="s">
        <v>841</v>
      </c>
      <c r="B45" s="585" t="s">
        <v>10204</v>
      </c>
      <c r="C45" s="292" t="s">
        <v>10205</v>
      </c>
      <c r="D45" s="316">
        <v>7034</v>
      </c>
      <c r="F45" s="585" t="s">
        <v>10168</v>
      </c>
      <c r="I45" s="292"/>
      <c r="K45" s="292"/>
    </row>
    <row r="47" spans="1:11">
      <c r="A47" s="585" t="s">
        <v>10206</v>
      </c>
    </row>
    <row r="48" spans="1:11">
      <c r="A48" s="594"/>
    </row>
  </sheetData>
  <printOptions gridLinesSet="0"/>
  <pageMargins left="0.78740157480314965" right="0" top="0.51181102362204722" bottom="0.51181102362204722" header="0.51181102362204722" footer="0.51181102362204722"/>
  <pageSetup paperSize="9" scale="68" orientation="portrait" horizontalDpi="300" verticalDpi="300" r:id="rId1"/>
  <headerFooter alignWithMargins="0">
    <oddFooter>&amp;C&amp;"Times New Roman,Regular"&amp;8&amp;P of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8"/>
  <sheetViews>
    <sheetView showGridLines="0" zoomScaleNormal="100" workbookViewId="0"/>
  </sheetViews>
  <sheetFormatPr defaultColWidth="12.59765625" defaultRowHeight="14.5"/>
  <cols>
    <col min="1" max="1" width="4.8984375" style="595" customWidth="1"/>
    <col min="2" max="2" width="40.69921875" style="595" customWidth="1"/>
    <col min="3" max="3" width="11.59765625" style="595" customWidth="1"/>
    <col min="4" max="4" width="10" style="595" customWidth="1"/>
    <col min="5" max="5" width="2.296875" style="595" customWidth="1"/>
    <col min="6" max="6" width="33" style="595" customWidth="1"/>
    <col min="7" max="16384" width="12.59765625" style="595"/>
  </cols>
  <sheetData>
    <row r="1" spans="1:6">
      <c r="A1" s="507" t="s">
        <v>9176</v>
      </c>
      <c r="D1" s="596">
        <v>2016</v>
      </c>
    </row>
    <row r="3" spans="1:6">
      <c r="A3" s="507" t="s">
        <v>10207</v>
      </c>
      <c r="D3" s="597">
        <f t="shared" ref="D3" si="0">SUM(D17:D36)</f>
        <v>169712</v>
      </c>
    </row>
    <row r="4" spans="1:6">
      <c r="A4" s="507"/>
      <c r="D4" s="597"/>
      <c r="F4" s="598"/>
    </row>
    <row r="5" spans="1:6">
      <c r="A5" s="507" t="s">
        <v>10208</v>
      </c>
      <c r="D5" s="597">
        <f>D19+D20+D34+D36</f>
        <v>37420</v>
      </c>
      <c r="F5" s="507" t="s">
        <v>10209</v>
      </c>
    </row>
    <row r="6" spans="1:6" ht="15" thickBot="1">
      <c r="A6" s="507"/>
      <c r="D6" s="599">
        <f>'TOWER HAMLETS'!D6</f>
        <v>40412</v>
      </c>
      <c r="F6" s="598" t="s">
        <v>9691</v>
      </c>
    </row>
    <row r="7" spans="1:6" ht="15" thickBot="1">
      <c r="A7" s="507"/>
      <c r="D7" s="600">
        <f>D5+D6</f>
        <v>77832</v>
      </c>
      <c r="F7" s="598"/>
    </row>
    <row r="8" spans="1:6">
      <c r="A8" s="507"/>
      <c r="D8" s="597"/>
      <c r="F8" s="598"/>
    </row>
    <row r="9" spans="1:6">
      <c r="A9" s="507" t="s">
        <v>10210</v>
      </c>
      <c r="D9" s="597">
        <f>D17+D18+SUM(D21:D24)+D32+D33+D35</f>
        <v>71687</v>
      </c>
      <c r="F9" s="507" t="s">
        <v>10209</v>
      </c>
    </row>
    <row r="10" spans="1:6">
      <c r="D10" s="601"/>
    </row>
    <row r="11" spans="1:6">
      <c r="A11" s="507" t="s">
        <v>10211</v>
      </c>
      <c r="D11" s="597">
        <f>SUM(D25:D31)</f>
        <v>60605</v>
      </c>
      <c r="F11" s="507" t="s">
        <v>10209</v>
      </c>
    </row>
    <row r="12" spans="1:6" ht="15" thickBot="1">
      <c r="A12" s="507"/>
      <c r="D12" s="599">
        <f>REDBRIDGE!D14</f>
        <v>16892</v>
      </c>
      <c r="F12" s="507" t="s">
        <v>9180</v>
      </c>
    </row>
    <row r="13" spans="1:6" ht="15" thickBot="1">
      <c r="A13" s="507"/>
      <c r="D13" s="600">
        <f>D11+D12</f>
        <v>77497</v>
      </c>
      <c r="F13" s="507"/>
    </row>
    <row r="14" spans="1:6">
      <c r="D14" s="601"/>
    </row>
    <row r="15" spans="1:6">
      <c r="A15" s="507" t="s">
        <v>1041</v>
      </c>
      <c r="D15" s="597">
        <f>D5+D9+D11</f>
        <v>169712</v>
      </c>
    </row>
    <row r="16" spans="1:6">
      <c r="D16" s="601"/>
    </row>
    <row r="17" spans="1:10">
      <c r="A17" s="507" t="s">
        <v>812</v>
      </c>
      <c r="B17" s="507" t="s">
        <v>10212</v>
      </c>
      <c r="C17" s="292" t="s">
        <v>10213</v>
      </c>
      <c r="D17" s="293">
        <v>7335</v>
      </c>
      <c r="F17" s="507" t="s">
        <v>10210</v>
      </c>
      <c r="H17" s="292"/>
      <c r="J17" s="292"/>
    </row>
    <row r="18" spans="1:10">
      <c r="A18" s="507" t="s">
        <v>813</v>
      </c>
      <c r="B18" s="507" t="s">
        <v>10214</v>
      </c>
      <c r="C18" s="292" t="s">
        <v>10215</v>
      </c>
      <c r="D18" s="293">
        <v>8696</v>
      </c>
      <c r="F18" s="507" t="s">
        <v>10210</v>
      </c>
      <c r="H18" s="292"/>
      <c r="J18" s="292"/>
    </row>
    <row r="19" spans="1:10">
      <c r="A19" s="507" t="s">
        <v>814</v>
      </c>
      <c r="B19" s="507" t="s">
        <v>10216</v>
      </c>
      <c r="C19" s="292" t="s">
        <v>10217</v>
      </c>
      <c r="D19" s="293">
        <v>8333</v>
      </c>
      <c r="F19" s="507" t="s">
        <v>10208</v>
      </c>
      <c r="H19" s="292"/>
      <c r="J19" s="292"/>
    </row>
    <row r="20" spans="1:10">
      <c r="A20" s="507" t="s">
        <v>815</v>
      </c>
      <c r="B20" s="507" t="s">
        <v>10218</v>
      </c>
      <c r="C20" s="292" t="s">
        <v>10219</v>
      </c>
      <c r="D20" s="293">
        <v>8543</v>
      </c>
      <c r="F20" s="507" t="s">
        <v>10208</v>
      </c>
      <c r="H20" s="292"/>
      <c r="J20" s="292"/>
    </row>
    <row r="21" spans="1:10">
      <c r="A21" s="507" t="s">
        <v>816</v>
      </c>
      <c r="B21" s="507" t="s">
        <v>10220</v>
      </c>
      <c r="C21" s="292" t="s">
        <v>10221</v>
      </c>
      <c r="D21" s="293">
        <v>6971</v>
      </c>
      <c r="F21" s="507" t="s">
        <v>10210</v>
      </c>
      <c r="H21" s="292"/>
      <c r="J21" s="292"/>
    </row>
    <row r="22" spans="1:10">
      <c r="A22" s="507" t="s">
        <v>826</v>
      </c>
      <c r="B22" s="507" t="s">
        <v>10222</v>
      </c>
      <c r="C22" s="292" t="s">
        <v>10223</v>
      </c>
      <c r="D22" s="293">
        <v>8867</v>
      </c>
      <c r="F22" s="507" t="s">
        <v>10210</v>
      </c>
      <c r="H22" s="292"/>
      <c r="J22" s="292"/>
    </row>
    <row r="23" spans="1:10">
      <c r="A23" s="507" t="s">
        <v>827</v>
      </c>
      <c r="B23" s="507" t="s">
        <v>10224</v>
      </c>
      <c r="C23" s="292" t="s">
        <v>10225</v>
      </c>
      <c r="D23" s="293">
        <v>8682</v>
      </c>
      <c r="F23" s="507" t="s">
        <v>10210</v>
      </c>
      <c r="H23" s="292"/>
      <c r="J23" s="292"/>
    </row>
    <row r="24" spans="1:10">
      <c r="A24" s="507" t="s">
        <v>828</v>
      </c>
      <c r="B24" s="507" t="s">
        <v>10226</v>
      </c>
      <c r="C24" s="292" t="s">
        <v>10227</v>
      </c>
      <c r="D24" s="293">
        <v>8347</v>
      </c>
      <c r="F24" s="507" t="s">
        <v>10210</v>
      </c>
      <c r="H24" s="292"/>
      <c r="J24" s="292"/>
    </row>
    <row r="25" spans="1:10">
      <c r="A25" s="507" t="s">
        <v>829</v>
      </c>
      <c r="B25" s="507" t="s">
        <v>10228</v>
      </c>
      <c r="C25" s="292" t="s">
        <v>10229</v>
      </c>
      <c r="D25" s="293">
        <v>8392</v>
      </c>
      <c r="F25" s="507" t="s">
        <v>10211</v>
      </c>
      <c r="H25" s="292"/>
      <c r="J25" s="292"/>
    </row>
    <row r="26" spans="1:10">
      <c r="A26" s="507" t="s">
        <v>830</v>
      </c>
      <c r="B26" s="507" t="s">
        <v>10230</v>
      </c>
      <c r="C26" s="292" t="s">
        <v>10231</v>
      </c>
      <c r="D26" s="293">
        <v>8862</v>
      </c>
      <c r="F26" s="507" t="s">
        <v>10211</v>
      </c>
      <c r="H26" s="292"/>
      <c r="J26" s="292"/>
    </row>
    <row r="27" spans="1:10">
      <c r="A27" s="507" t="s">
        <v>831</v>
      </c>
      <c r="B27" s="507" t="s">
        <v>10232</v>
      </c>
      <c r="C27" s="292" t="s">
        <v>10233</v>
      </c>
      <c r="D27" s="293">
        <v>8875</v>
      </c>
      <c r="F27" s="507" t="s">
        <v>10211</v>
      </c>
      <c r="H27" s="292"/>
      <c r="J27" s="292"/>
    </row>
    <row r="28" spans="1:10">
      <c r="A28" s="507" t="s">
        <v>832</v>
      </c>
      <c r="B28" s="507" t="s">
        <v>10234</v>
      </c>
      <c r="C28" s="292" t="s">
        <v>10235</v>
      </c>
      <c r="D28" s="295">
        <v>8752</v>
      </c>
      <c r="F28" s="507" t="s">
        <v>10211</v>
      </c>
      <c r="H28" s="292"/>
      <c r="J28" s="292"/>
    </row>
    <row r="29" spans="1:10">
      <c r="A29" s="507" t="s">
        <v>833</v>
      </c>
      <c r="B29" s="507" t="s">
        <v>10236</v>
      </c>
      <c r="C29" s="292" t="s">
        <v>10237</v>
      </c>
      <c r="D29" s="293">
        <v>8873</v>
      </c>
      <c r="F29" s="507" t="s">
        <v>10211</v>
      </c>
      <c r="H29" s="292"/>
      <c r="J29" s="292"/>
    </row>
    <row r="30" spans="1:10">
      <c r="A30" s="507" t="s">
        <v>834</v>
      </c>
      <c r="B30" s="507" t="s">
        <v>10238</v>
      </c>
      <c r="C30" s="292" t="s">
        <v>10239</v>
      </c>
      <c r="D30" s="293">
        <v>8636</v>
      </c>
      <c r="F30" s="507" t="s">
        <v>10211</v>
      </c>
      <c r="H30" s="292"/>
      <c r="J30" s="292"/>
    </row>
    <row r="31" spans="1:10">
      <c r="A31" s="507" t="s">
        <v>835</v>
      </c>
      <c r="B31" s="507" t="s">
        <v>10240</v>
      </c>
      <c r="C31" s="292" t="s">
        <v>10241</v>
      </c>
      <c r="D31" s="295">
        <v>8215</v>
      </c>
      <c r="F31" s="507" t="s">
        <v>10211</v>
      </c>
      <c r="H31" s="292"/>
      <c r="J31" s="292"/>
    </row>
    <row r="32" spans="1:10">
      <c r="A32" s="507" t="s">
        <v>836</v>
      </c>
      <c r="B32" s="507" t="s">
        <v>10242</v>
      </c>
      <c r="C32" s="292" t="s">
        <v>10243</v>
      </c>
      <c r="D32" s="295">
        <v>8290</v>
      </c>
      <c r="F32" s="507" t="s">
        <v>10210</v>
      </c>
      <c r="H32" s="292"/>
      <c r="J32" s="292"/>
    </row>
    <row r="33" spans="1:10">
      <c r="A33" s="507" t="s">
        <v>837</v>
      </c>
      <c r="B33" s="507" t="s">
        <v>10244</v>
      </c>
      <c r="C33" s="292" t="s">
        <v>10245</v>
      </c>
      <c r="D33" s="293">
        <v>6081</v>
      </c>
      <c r="F33" s="507" t="s">
        <v>10210</v>
      </c>
      <c r="H33" s="292"/>
      <c r="J33" s="292"/>
    </row>
    <row r="34" spans="1:10">
      <c r="A34" s="507" t="s">
        <v>838</v>
      </c>
      <c r="B34" s="507" t="s">
        <v>10246</v>
      </c>
      <c r="C34" s="292" t="s">
        <v>10247</v>
      </c>
      <c r="D34" s="295">
        <v>12471</v>
      </c>
      <c r="F34" s="507" t="s">
        <v>10208</v>
      </c>
      <c r="H34" s="292"/>
      <c r="J34" s="292"/>
    </row>
    <row r="35" spans="1:10">
      <c r="A35" s="507" t="s">
        <v>840</v>
      </c>
      <c r="B35" s="507" t="s">
        <v>10248</v>
      </c>
      <c r="C35" s="292" t="s">
        <v>10249</v>
      </c>
      <c r="D35" s="293">
        <v>8418</v>
      </c>
      <c r="F35" s="507" t="s">
        <v>10210</v>
      </c>
      <c r="H35" s="292"/>
      <c r="J35" s="292"/>
    </row>
    <row r="36" spans="1:10">
      <c r="A36" s="507" t="s">
        <v>841</v>
      </c>
      <c r="B36" s="507" t="s">
        <v>10250</v>
      </c>
      <c r="C36" s="292" t="s">
        <v>10251</v>
      </c>
      <c r="D36" s="295">
        <v>8073</v>
      </c>
      <c r="F36" s="507" t="s">
        <v>10208</v>
      </c>
      <c r="H36" s="292"/>
      <c r="J36" s="292"/>
    </row>
    <row r="38" spans="1:10">
      <c r="A38" s="595" t="s">
        <v>10252</v>
      </c>
    </row>
  </sheetData>
  <printOptions gridLinesSet="0"/>
  <pageMargins left="0.78740157480314965" right="0" top="0.51181102362204722" bottom="0.51181102362204722" header="0.51181102362204722" footer="0.51181102362204722"/>
  <pageSetup paperSize="9" scale="73" orientation="portrait" horizontalDpi="300" verticalDpi="300" r:id="rId1"/>
  <headerFooter alignWithMargins="0">
    <oddFooter>&amp;C&amp;"Times New Roman,Regular"&amp;8&amp;P of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319"/>
  <sheetViews>
    <sheetView showGridLines="0" zoomScaleNormal="100" workbookViewId="0"/>
  </sheetViews>
  <sheetFormatPr defaultColWidth="12.59765625" defaultRowHeight="14.5"/>
  <cols>
    <col min="1" max="1" width="4.8984375" style="377" customWidth="1"/>
    <col min="2" max="2" width="45.8984375" style="377" customWidth="1"/>
    <col min="3" max="3" width="11.59765625" style="377" customWidth="1"/>
    <col min="4" max="4" width="10" style="377" customWidth="1"/>
    <col min="5" max="5" width="2.296875" style="377" customWidth="1"/>
    <col min="6" max="6" width="35.69921875" style="377" customWidth="1"/>
    <col min="7" max="16384" width="12.59765625" style="377"/>
  </cols>
  <sheetData>
    <row r="1" spans="1:6">
      <c r="A1" s="268" t="s">
        <v>1075</v>
      </c>
      <c r="D1" s="378">
        <v>2016</v>
      </c>
    </row>
    <row r="3" spans="1:6">
      <c r="A3" s="268" t="s">
        <v>6809</v>
      </c>
      <c r="D3" s="379">
        <f t="shared" ref="D3" si="0">SUM(D5:D11)</f>
        <v>645761</v>
      </c>
    </row>
    <row r="4" spans="1:6">
      <c r="D4" s="380"/>
    </row>
    <row r="5" spans="1:6">
      <c r="A5" s="268" t="s">
        <v>8373</v>
      </c>
      <c r="C5" s="268"/>
      <c r="D5" s="379">
        <f t="shared" ref="D5" si="1">D52</f>
        <v>97669</v>
      </c>
      <c r="F5" s="381"/>
    </row>
    <row r="6" spans="1:6">
      <c r="A6" s="268" t="s">
        <v>8374</v>
      </c>
      <c r="C6" s="268"/>
      <c r="D6" s="379">
        <f t="shared" ref="D6" si="2">D90</f>
        <v>94862</v>
      </c>
      <c r="F6" s="381"/>
    </row>
    <row r="7" spans="1:6">
      <c r="A7" s="268" t="s">
        <v>8375</v>
      </c>
      <c r="C7" s="268"/>
      <c r="D7" s="379">
        <f t="shared" ref="D7" si="3">D128</f>
        <v>69691</v>
      </c>
      <c r="F7" s="381"/>
    </row>
    <row r="8" spans="1:6">
      <c r="A8" s="268" t="s">
        <v>8376</v>
      </c>
      <c r="C8" s="268"/>
      <c r="D8" s="379">
        <f t="shared" ref="D8" si="4">D154</f>
        <v>110945</v>
      </c>
      <c r="F8" s="381"/>
    </row>
    <row r="9" spans="1:6">
      <c r="A9" s="268" t="s">
        <v>8377</v>
      </c>
      <c r="C9" s="268"/>
      <c r="D9" s="379">
        <f t="shared" ref="D9" si="5">D207</f>
        <v>80922</v>
      </c>
      <c r="F9" s="381"/>
    </row>
    <row r="10" spans="1:6">
      <c r="A10" s="268" t="s">
        <v>8378</v>
      </c>
      <c r="C10" s="268"/>
      <c r="D10" s="379">
        <f t="shared" ref="D10" si="6">D252</f>
        <v>93077</v>
      </c>
      <c r="F10" s="381"/>
    </row>
    <row r="11" spans="1:6">
      <c r="A11" s="268" t="s">
        <v>8379</v>
      </c>
      <c r="C11" s="268"/>
      <c r="D11" s="379">
        <f t="shared" ref="D11" si="7">D275</f>
        <v>98595</v>
      </c>
      <c r="F11" s="381"/>
    </row>
    <row r="13" spans="1:6">
      <c r="A13" s="377" t="s">
        <v>8380</v>
      </c>
      <c r="D13" s="380">
        <f>D81</f>
        <v>2205</v>
      </c>
      <c r="F13" s="268" t="s">
        <v>7016</v>
      </c>
    </row>
    <row r="14" spans="1:6">
      <c r="D14" s="380">
        <f t="shared" ref="D14" si="8">D119</f>
        <v>53643</v>
      </c>
      <c r="F14" s="268" t="s">
        <v>8381</v>
      </c>
    </row>
    <row r="15" spans="1:6" ht="15" thickBot="1">
      <c r="D15" s="382">
        <f t="shared" ref="D15" si="9">D243</f>
        <v>15237</v>
      </c>
      <c r="F15" s="268" t="s">
        <v>8382</v>
      </c>
    </row>
    <row r="16" spans="1:6" ht="15" thickBot="1">
      <c r="D16" s="383">
        <f>SUM(D13:D15)</f>
        <v>71085</v>
      </c>
    </row>
    <row r="17" spans="1:6">
      <c r="D17" s="380"/>
    </row>
    <row r="18" spans="1:6">
      <c r="A18" s="268" t="s">
        <v>8383</v>
      </c>
      <c r="D18" s="379">
        <f t="shared" ref="D18" si="10">D147</f>
        <v>69691</v>
      </c>
      <c r="F18" s="268" t="s">
        <v>6804</v>
      </c>
    </row>
    <row r="19" spans="1:6" ht="15" thickBot="1">
      <c r="A19" s="268"/>
      <c r="D19" s="384">
        <f>D313</f>
        <v>2216</v>
      </c>
      <c r="F19" s="268" t="s">
        <v>8384</v>
      </c>
    </row>
    <row r="20" spans="1:6" ht="15" thickBot="1">
      <c r="A20" s="268"/>
      <c r="D20" s="384">
        <f t="shared" ref="D20" si="11">D18+D19</f>
        <v>71907</v>
      </c>
      <c r="F20" s="268"/>
    </row>
    <row r="21" spans="1:6">
      <c r="D21" s="380"/>
    </row>
    <row r="22" spans="1:6">
      <c r="A22" s="268" t="s">
        <v>8385</v>
      </c>
      <c r="D22" s="379">
        <f t="shared" ref="D22" si="12">D82</f>
        <v>68432</v>
      </c>
      <c r="F22" s="268" t="s">
        <v>7016</v>
      </c>
    </row>
    <row r="23" spans="1:6" ht="15" thickBot="1">
      <c r="D23" s="384">
        <f t="shared" ref="D23" si="13">D314</f>
        <v>4359</v>
      </c>
      <c r="F23" s="268" t="s">
        <v>8384</v>
      </c>
    </row>
    <row r="24" spans="1:6" ht="15" thickBot="1">
      <c r="D24" s="384">
        <f t="shared" ref="D24" si="14">D22+D23</f>
        <v>72791</v>
      </c>
    </row>
    <row r="25" spans="1:6">
      <c r="D25" s="380"/>
    </row>
    <row r="26" spans="1:6">
      <c r="A26" s="268" t="s">
        <v>8386</v>
      </c>
      <c r="D26" s="380">
        <f>D120</f>
        <v>5972</v>
      </c>
      <c r="F26" s="268" t="s">
        <v>8381</v>
      </c>
    </row>
    <row r="27" spans="1:6" ht="15" thickBot="1">
      <c r="D27" s="384">
        <f t="shared" ref="D27" si="15">D244</f>
        <v>65685</v>
      </c>
      <c r="F27" s="268" t="s">
        <v>8382</v>
      </c>
    </row>
    <row r="28" spans="1:6" ht="15" thickBot="1">
      <c r="A28" s="268"/>
      <c r="D28" s="384">
        <f t="shared" ref="D28" si="16">D26+D27</f>
        <v>71657</v>
      </c>
      <c r="F28" s="268"/>
    </row>
    <row r="29" spans="1:6">
      <c r="D29" s="380"/>
    </row>
    <row r="30" spans="1:6">
      <c r="A30" s="268" t="s">
        <v>8387</v>
      </c>
      <c r="D30" s="379">
        <f t="shared" ref="D30" si="17">D198</f>
        <v>72805</v>
      </c>
      <c r="F30" s="268" t="s">
        <v>7017</v>
      </c>
    </row>
    <row r="31" spans="1:6">
      <c r="D31" s="380"/>
    </row>
    <row r="32" spans="1:6">
      <c r="A32" s="268" t="s">
        <v>8388</v>
      </c>
      <c r="D32" s="379">
        <f t="shared" ref="D32" si="18">D121</f>
        <v>35247</v>
      </c>
      <c r="F32" s="268" t="s">
        <v>8381</v>
      </c>
    </row>
    <row r="33" spans="1:6" ht="15" thickBot="1">
      <c r="D33" s="384">
        <f t="shared" ref="D33" si="19">D267</f>
        <v>35945</v>
      </c>
      <c r="F33" s="268" t="s">
        <v>8389</v>
      </c>
    </row>
    <row r="34" spans="1:6" ht="15" thickBot="1">
      <c r="D34" s="384">
        <f t="shared" ref="D34" si="20">D32+D33</f>
        <v>71192</v>
      </c>
    </row>
    <row r="35" spans="1:6">
      <c r="D35" s="380"/>
    </row>
    <row r="36" spans="1:6">
      <c r="A36" s="268" t="s">
        <v>8390</v>
      </c>
      <c r="D36" s="379">
        <f t="shared" ref="D36" si="21">D268</f>
        <v>57132</v>
      </c>
      <c r="F36" s="268" t="s">
        <v>8389</v>
      </c>
    </row>
    <row r="37" spans="1:6" ht="15" thickBot="1">
      <c r="D37" s="384">
        <f t="shared" ref="D37" si="22">D315</f>
        <v>14672</v>
      </c>
      <c r="F37" s="268" t="s">
        <v>8384</v>
      </c>
    </row>
    <row r="38" spans="1:6" ht="15" thickBot="1">
      <c r="D38" s="384">
        <f t="shared" ref="D38" si="23">D36+D37</f>
        <v>71804</v>
      </c>
    </row>
    <row r="39" spans="1:6">
      <c r="D39" s="380"/>
    </row>
    <row r="40" spans="1:6">
      <c r="A40" s="268" t="s">
        <v>8391</v>
      </c>
      <c r="D40" s="379">
        <f t="shared" ref="D40" si="24">D316</f>
        <v>77348</v>
      </c>
      <c r="F40" s="268" t="s">
        <v>8384</v>
      </c>
    </row>
    <row r="41" spans="1:6">
      <c r="D41" s="380"/>
    </row>
    <row r="42" spans="1:6">
      <c r="A42" s="268" t="s">
        <v>7015</v>
      </c>
      <c r="D42" s="379">
        <f t="shared" ref="D42" si="25">D83</f>
        <v>27032</v>
      </c>
      <c r="F42" s="268" t="s">
        <v>7016</v>
      </c>
    </row>
    <row r="43" spans="1:6">
      <c r="A43" s="268"/>
      <c r="D43" s="379">
        <f>CAMBRIDGESHIRE!D44</f>
        <v>6052</v>
      </c>
      <c r="F43" s="338" t="s">
        <v>7006</v>
      </c>
    </row>
    <row r="44" spans="1:6" ht="15" thickBot="1">
      <c r="D44" s="384">
        <f t="shared" ref="D44" si="26">D199</f>
        <v>38140</v>
      </c>
      <c r="F44" s="268" t="s">
        <v>7017</v>
      </c>
    </row>
    <row r="45" spans="1:6" ht="15" thickBot="1">
      <c r="D45" s="384">
        <f>SUM(D42:D44)</f>
        <v>71224</v>
      </c>
    </row>
    <row r="46" spans="1:6">
      <c r="D46" s="380"/>
    </row>
    <row r="47" spans="1:6">
      <c r="A47" s="268" t="s">
        <v>1041</v>
      </c>
      <c r="D47" s="379">
        <f>D16+D20+D24+D28+D30+D34+D38+D40+D42+D44</f>
        <v>645761</v>
      </c>
    </row>
    <row r="48" spans="1:6">
      <c r="D48" s="380"/>
    </row>
    <row r="49" spans="1:9">
      <c r="A49" s="268"/>
      <c r="D49" s="385"/>
    </row>
    <row r="50" spans="1:9">
      <c r="D50" s="10" t="s">
        <v>285</v>
      </c>
      <c r="E50" s="38"/>
      <c r="F50" s="38" t="s">
        <v>4116</v>
      </c>
    </row>
    <row r="51" spans="1:9">
      <c r="D51" s="378">
        <v>2016</v>
      </c>
      <c r="F51" s="41" t="s">
        <v>286</v>
      </c>
    </row>
    <row r="52" spans="1:9">
      <c r="A52" s="268" t="s">
        <v>8392</v>
      </c>
      <c r="C52" s="268"/>
      <c r="D52" s="379">
        <f>SUM(D53:D79)</f>
        <v>97669</v>
      </c>
    </row>
    <row r="53" spans="1:9">
      <c r="A53" s="268" t="s">
        <v>812</v>
      </c>
      <c r="B53" s="268" t="s">
        <v>8393</v>
      </c>
      <c r="C53" s="1" t="s">
        <v>8394</v>
      </c>
      <c r="D53" s="7">
        <v>4767</v>
      </c>
      <c r="F53" s="268" t="s">
        <v>8385</v>
      </c>
      <c r="G53" s="19"/>
      <c r="I53" s="1"/>
    </row>
    <row r="54" spans="1:9">
      <c r="A54" s="268" t="s">
        <v>813</v>
      </c>
      <c r="B54" s="268" t="s">
        <v>8395</v>
      </c>
      <c r="C54" s="1" t="s">
        <v>8396</v>
      </c>
      <c r="D54" s="7">
        <v>2163</v>
      </c>
      <c r="F54" s="268" t="s">
        <v>8385</v>
      </c>
      <c r="G54" s="19"/>
      <c r="I54" s="1"/>
    </row>
    <row r="55" spans="1:9">
      <c r="A55" s="268" t="s">
        <v>814</v>
      </c>
      <c r="B55" s="268" t="s">
        <v>8397</v>
      </c>
      <c r="C55" s="1" t="s">
        <v>8398</v>
      </c>
      <c r="D55" s="7">
        <v>3800</v>
      </c>
      <c r="F55" s="268" t="s">
        <v>8385</v>
      </c>
      <c r="G55" s="20"/>
      <c r="I55" s="1"/>
    </row>
    <row r="56" spans="1:9">
      <c r="A56" s="268" t="s">
        <v>815</v>
      </c>
      <c r="B56" s="268" t="s">
        <v>8399</v>
      </c>
      <c r="C56" s="1" t="s">
        <v>8400</v>
      </c>
      <c r="D56" s="7">
        <v>5052</v>
      </c>
      <c r="F56" s="268" t="s">
        <v>8385</v>
      </c>
      <c r="G56" s="19"/>
      <c r="I56" s="1"/>
    </row>
    <row r="57" spans="1:9">
      <c r="A57" s="268" t="s">
        <v>816</v>
      </c>
      <c r="B57" s="268" t="s">
        <v>8401</v>
      </c>
      <c r="C57" s="1" t="s">
        <v>8402</v>
      </c>
      <c r="D57" s="8">
        <v>2336</v>
      </c>
      <c r="F57" s="268" t="s">
        <v>7015</v>
      </c>
      <c r="G57" s="19"/>
      <c r="I57" s="1"/>
    </row>
    <row r="58" spans="1:9">
      <c r="A58" s="268" t="s">
        <v>826</v>
      </c>
      <c r="B58" s="268" t="s">
        <v>8403</v>
      </c>
      <c r="C58" s="1" t="s">
        <v>8404</v>
      </c>
      <c r="D58" s="7">
        <v>5403</v>
      </c>
      <c r="F58" s="268" t="s">
        <v>8385</v>
      </c>
      <c r="G58" s="19"/>
      <c r="I58" s="1"/>
    </row>
    <row r="59" spans="1:9">
      <c r="A59" s="268" t="s">
        <v>827</v>
      </c>
      <c r="B59" s="268" t="s">
        <v>8405</v>
      </c>
      <c r="C59" s="1" t="s">
        <v>8406</v>
      </c>
      <c r="D59" s="7">
        <v>4360</v>
      </c>
      <c r="F59" s="268" t="s">
        <v>8385</v>
      </c>
      <c r="G59" s="19"/>
      <c r="I59" s="1"/>
    </row>
    <row r="60" spans="1:9">
      <c r="A60" s="268" t="s">
        <v>828</v>
      </c>
      <c r="B60" s="268" t="s">
        <v>8407</v>
      </c>
      <c r="C60" s="1" t="s">
        <v>8408</v>
      </c>
      <c r="D60" s="7">
        <v>4321</v>
      </c>
      <c r="F60" s="268" t="s">
        <v>8385</v>
      </c>
      <c r="G60" s="19"/>
      <c r="I60" s="1"/>
    </row>
    <row r="61" spans="1:9">
      <c r="A61" s="268" t="s">
        <v>829</v>
      </c>
      <c r="B61" s="268" t="s">
        <v>496</v>
      </c>
      <c r="C61" s="1" t="s">
        <v>8409</v>
      </c>
      <c r="D61" s="8">
        <v>2162</v>
      </c>
      <c r="F61" s="268" t="s">
        <v>7015</v>
      </c>
      <c r="G61" s="20"/>
      <c r="I61" s="1"/>
    </row>
    <row r="62" spans="1:9">
      <c r="A62" s="268" t="s">
        <v>830</v>
      </c>
      <c r="B62" s="268" t="s">
        <v>8410</v>
      </c>
      <c r="C62" s="1" t="s">
        <v>8411</v>
      </c>
      <c r="D62" s="8">
        <v>2470</v>
      </c>
      <c r="F62" s="268" t="s">
        <v>8385</v>
      </c>
      <c r="G62" s="19"/>
      <c r="I62" s="1"/>
    </row>
    <row r="63" spans="1:9">
      <c r="A63" s="268" t="s">
        <v>831</v>
      </c>
      <c r="B63" s="268" t="s">
        <v>8412</v>
      </c>
      <c r="C63" s="1" t="s">
        <v>8413</v>
      </c>
      <c r="D63" s="8">
        <v>2478</v>
      </c>
      <c r="F63" s="268" t="s">
        <v>8385</v>
      </c>
      <c r="G63" s="19"/>
      <c r="I63" s="1"/>
    </row>
    <row r="64" spans="1:9">
      <c r="A64" s="268" t="s">
        <v>832</v>
      </c>
      <c r="B64" s="268" t="s">
        <v>4884</v>
      </c>
      <c r="C64" s="1" t="s">
        <v>8414</v>
      </c>
      <c r="D64" s="7">
        <v>2205</v>
      </c>
      <c r="F64" s="268" t="s">
        <v>8380</v>
      </c>
      <c r="G64" s="20"/>
      <c r="I64" s="1"/>
    </row>
    <row r="65" spans="1:9">
      <c r="A65" s="268" t="s">
        <v>833</v>
      </c>
      <c r="B65" s="268" t="s">
        <v>8415</v>
      </c>
      <c r="C65" s="1" t="s">
        <v>8416</v>
      </c>
      <c r="D65" s="7">
        <v>2054</v>
      </c>
      <c r="F65" s="268" t="s">
        <v>8385</v>
      </c>
      <c r="G65" s="19"/>
      <c r="I65" s="1"/>
    </row>
    <row r="66" spans="1:9">
      <c r="A66" s="268" t="s">
        <v>834</v>
      </c>
      <c r="B66" s="268" t="s">
        <v>4062</v>
      </c>
      <c r="C66" s="1" t="s">
        <v>8417</v>
      </c>
      <c r="D66" s="7">
        <v>4065</v>
      </c>
      <c r="F66" s="268" t="s">
        <v>8385</v>
      </c>
      <c r="G66" s="19"/>
      <c r="I66" s="1"/>
    </row>
    <row r="67" spans="1:9">
      <c r="A67" s="268" t="s">
        <v>835</v>
      </c>
      <c r="B67" s="268" t="s">
        <v>8418</v>
      </c>
      <c r="C67" s="1" t="s">
        <v>8419</v>
      </c>
      <c r="D67" s="7">
        <v>4384</v>
      </c>
      <c r="F67" s="268" t="s">
        <v>8385</v>
      </c>
      <c r="G67" s="20"/>
      <c r="I67" s="1"/>
    </row>
    <row r="68" spans="1:9">
      <c r="A68" s="268" t="s">
        <v>836</v>
      </c>
      <c r="B68" s="268" t="s">
        <v>8420</v>
      </c>
      <c r="C68" s="1" t="s">
        <v>8421</v>
      </c>
      <c r="D68" s="8">
        <v>2081</v>
      </c>
      <c r="F68" s="268" t="s">
        <v>7015</v>
      </c>
      <c r="G68" s="20"/>
      <c r="I68" s="1"/>
    </row>
    <row r="69" spans="1:9">
      <c r="A69" s="268" t="s">
        <v>837</v>
      </c>
      <c r="B69" s="268" t="s">
        <v>8422</v>
      </c>
      <c r="C69" s="1" t="s">
        <v>8423</v>
      </c>
      <c r="D69" s="7">
        <v>2116</v>
      </c>
      <c r="F69" s="268" t="s">
        <v>8385</v>
      </c>
      <c r="G69" s="19"/>
      <c r="I69" s="1"/>
    </row>
    <row r="70" spans="1:9">
      <c r="A70" s="268" t="s">
        <v>838</v>
      </c>
      <c r="B70" s="268" t="s">
        <v>8424</v>
      </c>
      <c r="C70" s="1" t="s">
        <v>8425</v>
      </c>
      <c r="D70" s="7">
        <v>3769</v>
      </c>
      <c r="F70" s="268" t="s">
        <v>8385</v>
      </c>
      <c r="G70" s="19"/>
      <c r="I70" s="1"/>
    </row>
    <row r="71" spans="1:9">
      <c r="A71" s="268" t="s">
        <v>840</v>
      </c>
      <c r="B71" s="268" t="s">
        <v>8426</v>
      </c>
      <c r="C71" s="1" t="s">
        <v>8427</v>
      </c>
      <c r="D71" s="7">
        <v>4265</v>
      </c>
      <c r="F71" s="268" t="s">
        <v>8385</v>
      </c>
      <c r="G71" s="19"/>
      <c r="I71" s="1"/>
    </row>
    <row r="72" spans="1:9">
      <c r="A72" s="268" t="s">
        <v>841</v>
      </c>
      <c r="B72" s="268" t="s">
        <v>8428</v>
      </c>
      <c r="C72" s="1" t="s">
        <v>8429</v>
      </c>
      <c r="D72" s="8">
        <v>5833</v>
      </c>
      <c r="F72" s="268" t="s">
        <v>7015</v>
      </c>
      <c r="G72" s="19"/>
      <c r="I72" s="1"/>
    </row>
    <row r="73" spans="1:9">
      <c r="A73" s="268" t="s">
        <v>878</v>
      </c>
      <c r="B73" s="268" t="s">
        <v>8430</v>
      </c>
      <c r="C73" s="1" t="s">
        <v>8431</v>
      </c>
      <c r="D73" s="7">
        <v>2510</v>
      </c>
      <c r="F73" s="268" t="s">
        <v>8385</v>
      </c>
      <c r="G73" s="20"/>
      <c r="I73" s="1"/>
    </row>
    <row r="74" spans="1:9">
      <c r="A74" s="268" t="s">
        <v>879</v>
      </c>
      <c r="B74" s="268" t="s">
        <v>8432</v>
      </c>
      <c r="C74" s="1" t="s">
        <v>8433</v>
      </c>
      <c r="D74" s="8">
        <v>3290</v>
      </c>
      <c r="F74" s="268" t="s">
        <v>7015</v>
      </c>
      <c r="G74" s="20"/>
      <c r="I74" s="1"/>
    </row>
    <row r="75" spans="1:9">
      <c r="A75" s="268" t="s">
        <v>880</v>
      </c>
      <c r="B75" s="268" t="s">
        <v>8434</v>
      </c>
      <c r="C75" s="1" t="s">
        <v>8435</v>
      </c>
      <c r="D75" s="8">
        <v>3696</v>
      </c>
      <c r="F75" s="268" t="s">
        <v>7015</v>
      </c>
      <c r="G75" s="20"/>
      <c r="I75" s="1"/>
    </row>
    <row r="76" spans="1:9">
      <c r="A76" s="268" t="s">
        <v>721</v>
      </c>
      <c r="B76" s="268" t="s">
        <v>8436</v>
      </c>
      <c r="C76" s="1" t="s">
        <v>8437</v>
      </c>
      <c r="D76" s="8">
        <v>3590</v>
      </c>
      <c r="F76" s="268" t="s">
        <v>7015</v>
      </c>
      <c r="G76" s="20"/>
      <c r="I76" s="1"/>
    </row>
    <row r="77" spans="1:9">
      <c r="A77" s="268" t="s">
        <v>722</v>
      </c>
      <c r="B77" s="268" t="s">
        <v>8438</v>
      </c>
      <c r="C77" s="1" t="s">
        <v>8439</v>
      </c>
      <c r="D77" s="8">
        <v>4044</v>
      </c>
      <c r="F77" s="268" t="s">
        <v>7015</v>
      </c>
      <c r="G77" s="20"/>
      <c r="I77" s="1"/>
    </row>
    <row r="78" spans="1:9">
      <c r="A78" s="268" t="s">
        <v>723</v>
      </c>
      <c r="B78" s="268" t="s">
        <v>8440</v>
      </c>
      <c r="C78" s="1" t="s">
        <v>8441</v>
      </c>
      <c r="D78" s="8">
        <v>4928</v>
      </c>
      <c r="F78" s="268" t="s">
        <v>8385</v>
      </c>
      <c r="G78" s="20"/>
      <c r="I78" s="1"/>
    </row>
    <row r="79" spans="1:9">
      <c r="A79" s="268" t="s">
        <v>733</v>
      </c>
      <c r="B79" s="268" t="s">
        <v>8442</v>
      </c>
      <c r="C79" s="1" t="s">
        <v>8443</v>
      </c>
      <c r="D79" s="8">
        <v>5527</v>
      </c>
      <c r="F79" s="268" t="s">
        <v>8385</v>
      </c>
      <c r="G79" s="20"/>
      <c r="I79" s="1"/>
    </row>
    <row r="80" spans="1:9">
      <c r="D80" s="380"/>
    </row>
    <row r="81" spans="1:9">
      <c r="A81" s="268" t="s">
        <v>8444</v>
      </c>
      <c r="D81" s="380">
        <f>D64</f>
        <v>2205</v>
      </c>
    </row>
    <row r="82" spans="1:9">
      <c r="A82" s="268" t="s">
        <v>8445</v>
      </c>
      <c r="D82" s="379">
        <f>SUM(D53:D56)+SUM(D58:D60)+D62+D63+SUM(D65:D67)+SUM(D69:D71)+D73+D78+D79</f>
        <v>68432</v>
      </c>
    </row>
    <row r="83" spans="1:9">
      <c r="A83" s="268" t="s">
        <v>7131</v>
      </c>
      <c r="D83" s="379">
        <f>D57+D61+D68+D72+SUM(D74:D77)</f>
        <v>27032</v>
      </c>
    </row>
    <row r="84" spans="1:9">
      <c r="A84" s="268"/>
      <c r="D84" s="379"/>
    </row>
    <row r="85" spans="1:9">
      <c r="A85" s="268" t="s">
        <v>8446</v>
      </c>
      <c r="D85" s="379"/>
    </row>
    <row r="86" spans="1:9" ht="16.5" customHeight="1">
      <c r="A86" s="268"/>
      <c r="B86" s="268"/>
      <c r="D86" s="386"/>
    </row>
    <row r="87" spans="1:9">
      <c r="A87" s="268"/>
      <c r="B87" s="268"/>
      <c r="D87" s="386"/>
    </row>
    <row r="88" spans="1:9">
      <c r="D88" s="10" t="s">
        <v>285</v>
      </c>
      <c r="E88" s="38"/>
      <c r="F88" s="38" t="s">
        <v>4116</v>
      </c>
    </row>
    <row r="89" spans="1:9">
      <c r="D89" s="378">
        <v>2016</v>
      </c>
      <c r="F89" s="41" t="s">
        <v>286</v>
      </c>
    </row>
    <row r="90" spans="1:9">
      <c r="A90" s="268" t="s">
        <v>8447</v>
      </c>
      <c r="D90" s="379">
        <f t="shared" ref="D90" si="27">SUM(D91:D117)</f>
        <v>94862</v>
      </c>
    </row>
    <row r="91" spans="1:9">
      <c r="A91" s="268" t="s">
        <v>812</v>
      </c>
      <c r="B91" s="268" t="s">
        <v>8448</v>
      </c>
      <c r="C91" s="1" t="s">
        <v>8449</v>
      </c>
      <c r="D91" s="13">
        <v>2116</v>
      </c>
      <c r="F91" s="268" t="s">
        <v>8380</v>
      </c>
      <c r="G91" s="1"/>
      <c r="I91" s="1"/>
    </row>
    <row r="92" spans="1:9">
      <c r="A92" s="268" t="s">
        <v>813</v>
      </c>
      <c r="B92" s="268" t="s">
        <v>8450</v>
      </c>
      <c r="C92" s="1" t="s">
        <v>8451</v>
      </c>
      <c r="D92" s="13">
        <v>5972</v>
      </c>
      <c r="F92" s="268" t="s">
        <v>8386</v>
      </c>
      <c r="G92" s="1"/>
      <c r="I92" s="1"/>
    </row>
    <row r="93" spans="1:9">
      <c r="A93" s="268" t="s">
        <v>814</v>
      </c>
      <c r="B93" s="268" t="s">
        <v>8452</v>
      </c>
      <c r="C93" s="1" t="s">
        <v>8453</v>
      </c>
      <c r="D93" s="13">
        <v>4443</v>
      </c>
      <c r="F93" s="268" t="s">
        <v>8380</v>
      </c>
      <c r="G93" s="1"/>
      <c r="I93" s="1"/>
    </row>
    <row r="94" spans="1:9">
      <c r="A94" s="268" t="s">
        <v>815</v>
      </c>
      <c r="B94" s="268" t="s">
        <v>8454</v>
      </c>
      <c r="C94" s="1" t="s">
        <v>8455</v>
      </c>
      <c r="D94" s="13">
        <v>4441</v>
      </c>
      <c r="F94" s="268" t="s">
        <v>8380</v>
      </c>
      <c r="G94" s="1"/>
      <c r="I94" s="1"/>
    </row>
    <row r="95" spans="1:9">
      <c r="A95" s="268" t="s">
        <v>816</v>
      </c>
      <c r="B95" s="268" t="s">
        <v>8456</v>
      </c>
      <c r="C95" s="1" t="s">
        <v>8457</v>
      </c>
      <c r="D95" s="13">
        <v>2057</v>
      </c>
      <c r="F95" s="268" t="s">
        <v>8380</v>
      </c>
      <c r="G95" s="1"/>
      <c r="I95" s="1"/>
    </row>
    <row r="96" spans="1:9">
      <c r="A96" s="268" t="s">
        <v>826</v>
      </c>
      <c r="B96" s="268" t="s">
        <v>8458</v>
      </c>
      <c r="C96" s="1" t="s">
        <v>8459</v>
      </c>
      <c r="D96" s="13">
        <v>2043</v>
      </c>
      <c r="F96" s="268" t="s">
        <v>8380</v>
      </c>
      <c r="G96" s="1"/>
      <c r="I96" s="1"/>
    </row>
    <row r="97" spans="1:9">
      <c r="A97" s="268" t="s">
        <v>827</v>
      </c>
      <c r="B97" s="268" t="s">
        <v>8460</v>
      </c>
      <c r="C97" s="1" t="s">
        <v>8461</v>
      </c>
      <c r="D97" s="13">
        <v>2019</v>
      </c>
      <c r="F97" s="268" t="s">
        <v>8380</v>
      </c>
      <c r="G97" s="1"/>
      <c r="I97" s="1"/>
    </row>
    <row r="98" spans="1:9">
      <c r="A98" s="268" t="s">
        <v>828</v>
      </c>
      <c r="B98" s="268" t="s">
        <v>8462</v>
      </c>
      <c r="C98" s="1" t="s">
        <v>8463</v>
      </c>
      <c r="D98" s="13">
        <v>2083</v>
      </c>
      <c r="F98" s="268" t="s">
        <v>8380</v>
      </c>
      <c r="G98" s="1"/>
      <c r="I98" s="1"/>
    </row>
    <row r="99" spans="1:9">
      <c r="A99" s="268" t="s">
        <v>829</v>
      </c>
      <c r="B99" s="268" t="s">
        <v>8464</v>
      </c>
      <c r="C99" s="1" t="s">
        <v>8465</v>
      </c>
      <c r="D99" s="13">
        <v>1963</v>
      </c>
      <c r="F99" s="268" t="s">
        <v>8380</v>
      </c>
      <c r="G99" s="1"/>
      <c r="I99" s="1"/>
    </row>
    <row r="100" spans="1:9">
      <c r="A100" s="268" t="s">
        <v>830</v>
      </c>
      <c r="B100" s="268" t="s">
        <v>8466</v>
      </c>
      <c r="C100" s="1" t="s">
        <v>8467</v>
      </c>
      <c r="D100" s="13">
        <v>2448</v>
      </c>
      <c r="F100" s="268" t="s">
        <v>8380</v>
      </c>
      <c r="G100" s="1"/>
      <c r="I100" s="1"/>
    </row>
    <row r="101" spans="1:9">
      <c r="A101" s="268" t="s">
        <v>831</v>
      </c>
      <c r="B101" s="268" t="s">
        <v>8468</v>
      </c>
      <c r="C101" s="1" t="s">
        <v>8469</v>
      </c>
      <c r="D101" s="13">
        <v>1993</v>
      </c>
      <c r="F101" s="268" t="s">
        <v>8380</v>
      </c>
      <c r="G101" s="1"/>
      <c r="I101" s="1"/>
    </row>
    <row r="102" spans="1:9">
      <c r="A102" s="268" t="s">
        <v>832</v>
      </c>
      <c r="B102" s="268" t="s">
        <v>8470</v>
      </c>
      <c r="C102" s="1" t="s">
        <v>8471</v>
      </c>
      <c r="D102" s="13">
        <v>4539</v>
      </c>
      <c r="F102" s="268" t="s">
        <v>8388</v>
      </c>
      <c r="G102" s="1"/>
      <c r="I102" s="1"/>
    </row>
    <row r="103" spans="1:9">
      <c r="A103" s="268" t="s">
        <v>833</v>
      </c>
      <c r="B103" s="268" t="s">
        <v>8472</v>
      </c>
      <c r="C103" s="1" t="s">
        <v>8473</v>
      </c>
      <c r="D103" s="13">
        <v>3894</v>
      </c>
      <c r="F103" s="268" t="s">
        <v>8388</v>
      </c>
      <c r="G103" s="1"/>
      <c r="I103" s="1"/>
    </row>
    <row r="104" spans="1:9">
      <c r="A104" s="268" t="s">
        <v>834</v>
      </c>
      <c r="B104" s="268" t="s">
        <v>8474</v>
      </c>
      <c r="C104" s="1" t="s">
        <v>8475</v>
      </c>
      <c r="D104" s="13">
        <v>2121</v>
      </c>
      <c r="F104" s="268" t="s">
        <v>8380</v>
      </c>
      <c r="G104" s="1"/>
      <c r="I104" s="1"/>
    </row>
    <row r="105" spans="1:9">
      <c r="A105" s="268" t="s">
        <v>835</v>
      </c>
      <c r="B105" s="268" t="s">
        <v>8476</v>
      </c>
      <c r="C105" s="1" t="s">
        <v>8477</v>
      </c>
      <c r="D105" s="13">
        <v>3667</v>
      </c>
      <c r="F105" s="268" t="s">
        <v>8380</v>
      </c>
      <c r="G105" s="1"/>
      <c r="I105" s="1"/>
    </row>
    <row r="106" spans="1:9">
      <c r="A106" s="268" t="s">
        <v>836</v>
      </c>
      <c r="B106" s="268" t="s">
        <v>8478</v>
      </c>
      <c r="C106" s="1" t="s">
        <v>8479</v>
      </c>
      <c r="D106" s="13">
        <v>2363</v>
      </c>
      <c r="F106" s="268" t="s">
        <v>8380</v>
      </c>
      <c r="G106" s="1"/>
      <c r="I106" s="1"/>
    </row>
    <row r="107" spans="1:9">
      <c r="A107" s="268" t="s">
        <v>837</v>
      </c>
      <c r="B107" s="268" t="s">
        <v>8480</v>
      </c>
      <c r="C107" s="1" t="s">
        <v>8481</v>
      </c>
      <c r="D107" s="13">
        <v>6338</v>
      </c>
      <c r="F107" s="268" t="s">
        <v>8388</v>
      </c>
      <c r="G107" s="1"/>
      <c r="I107" s="1"/>
    </row>
    <row r="108" spans="1:9">
      <c r="A108" s="268" t="s">
        <v>838</v>
      </c>
      <c r="B108" s="268" t="s">
        <v>8482</v>
      </c>
      <c r="C108" s="1" t="s">
        <v>8483</v>
      </c>
      <c r="D108" s="13">
        <v>2360</v>
      </c>
      <c r="F108" s="268" t="s">
        <v>8380</v>
      </c>
      <c r="G108" s="1"/>
      <c r="I108" s="1"/>
    </row>
    <row r="109" spans="1:9">
      <c r="A109" s="268" t="s">
        <v>840</v>
      </c>
      <c r="B109" s="268" t="s">
        <v>8484</v>
      </c>
      <c r="C109" s="1" t="s">
        <v>8485</v>
      </c>
      <c r="D109" s="13">
        <v>1972</v>
      </c>
      <c r="F109" s="268" t="s">
        <v>8380</v>
      </c>
      <c r="G109" s="1"/>
      <c r="I109" s="1"/>
    </row>
    <row r="110" spans="1:9">
      <c r="A110" s="268" t="s">
        <v>841</v>
      </c>
      <c r="B110" s="268" t="s">
        <v>8486</v>
      </c>
      <c r="C110" s="1" t="s">
        <v>8487</v>
      </c>
      <c r="D110" s="13">
        <v>4260</v>
      </c>
      <c r="F110" s="268" t="s">
        <v>8380</v>
      </c>
      <c r="G110" s="1"/>
      <c r="I110" s="1"/>
    </row>
    <row r="111" spans="1:9">
      <c r="A111" s="268" t="s">
        <v>878</v>
      </c>
      <c r="B111" s="268" t="s">
        <v>8488</v>
      </c>
      <c r="C111" s="1" t="s">
        <v>8489</v>
      </c>
      <c r="D111" s="13">
        <v>4150</v>
      </c>
      <c r="F111" s="268" t="s">
        <v>8388</v>
      </c>
      <c r="G111" s="1"/>
      <c r="I111" s="1"/>
    </row>
    <row r="112" spans="1:9">
      <c r="A112" s="268" t="s">
        <v>879</v>
      </c>
      <c r="B112" s="268" t="s">
        <v>8490</v>
      </c>
      <c r="C112" s="1" t="s">
        <v>8491</v>
      </c>
      <c r="D112" s="13">
        <v>5617</v>
      </c>
      <c r="F112" s="268" t="s">
        <v>8388</v>
      </c>
      <c r="G112" s="1"/>
      <c r="I112" s="1"/>
    </row>
    <row r="113" spans="1:9">
      <c r="A113" s="268" t="s">
        <v>880</v>
      </c>
      <c r="B113" s="268" t="s">
        <v>8492</v>
      </c>
      <c r="C113" s="1" t="s">
        <v>8493</v>
      </c>
      <c r="D113" s="13">
        <v>3779</v>
      </c>
      <c r="F113" s="268" t="s">
        <v>8380</v>
      </c>
      <c r="G113" s="1"/>
      <c r="I113" s="1"/>
    </row>
    <row r="114" spans="1:9">
      <c r="A114" s="268" t="s">
        <v>721</v>
      </c>
      <c r="B114" s="268" t="s">
        <v>8494</v>
      </c>
      <c r="C114" s="1" t="s">
        <v>8495</v>
      </c>
      <c r="D114" s="13">
        <v>3636</v>
      </c>
      <c r="F114" s="268" t="s">
        <v>8380</v>
      </c>
      <c r="G114" s="1"/>
      <c r="I114" s="1"/>
    </row>
    <row r="115" spans="1:9">
      <c r="A115" s="268" t="s">
        <v>722</v>
      </c>
      <c r="B115" s="268" t="s">
        <v>8496</v>
      </c>
      <c r="C115" s="1" t="s">
        <v>8497</v>
      </c>
      <c r="D115" s="13">
        <v>5635</v>
      </c>
      <c r="F115" s="268" t="s">
        <v>8388</v>
      </c>
      <c r="G115" s="1"/>
      <c r="I115" s="1"/>
    </row>
    <row r="116" spans="1:9">
      <c r="A116" s="268" t="s">
        <v>723</v>
      </c>
      <c r="B116" s="268" t="s">
        <v>8498</v>
      </c>
      <c r="C116" s="1" t="s">
        <v>8499</v>
      </c>
      <c r="D116" s="13">
        <v>5074</v>
      </c>
      <c r="F116" s="268" t="s">
        <v>8388</v>
      </c>
      <c r="G116" s="1"/>
      <c r="I116" s="1"/>
    </row>
    <row r="117" spans="1:9">
      <c r="A117" s="268" t="s">
        <v>733</v>
      </c>
      <c r="B117" s="268" t="s">
        <v>8500</v>
      </c>
      <c r="C117" s="1" t="s">
        <v>8501</v>
      </c>
      <c r="D117" s="13">
        <v>3879</v>
      </c>
      <c r="F117" s="268" t="s">
        <v>8380</v>
      </c>
      <c r="G117" s="1"/>
      <c r="I117" s="1"/>
    </row>
    <row r="118" spans="1:9">
      <c r="D118" s="380"/>
    </row>
    <row r="119" spans="1:9">
      <c r="A119" s="268" t="s">
        <v>8444</v>
      </c>
      <c r="D119" s="379">
        <f>D91+SUM(D93:D101)+SUM(D104:D106)+SUM(D108:D110)+D113+D114+D117</f>
        <v>53643</v>
      </c>
    </row>
    <row r="120" spans="1:9">
      <c r="A120" s="268" t="s">
        <v>8502</v>
      </c>
      <c r="D120" s="379">
        <f>D92</f>
        <v>5972</v>
      </c>
    </row>
    <row r="121" spans="1:9">
      <c r="A121" s="268" t="s">
        <v>8503</v>
      </c>
      <c r="D121" s="379">
        <f t="shared" ref="D121" si="28">D102+D103+D107+D111+D112+D115+D116</f>
        <v>35247</v>
      </c>
    </row>
    <row r="122" spans="1:9">
      <c r="A122" s="268"/>
      <c r="D122" s="379"/>
    </row>
    <row r="123" spans="1:9">
      <c r="A123" s="268" t="s">
        <v>8504</v>
      </c>
      <c r="D123" s="379"/>
    </row>
    <row r="124" spans="1:9">
      <c r="A124" s="268"/>
      <c r="B124" s="268"/>
      <c r="D124" s="386"/>
    </row>
    <row r="125" spans="1:9">
      <c r="A125" s="268"/>
      <c r="B125" s="268"/>
      <c r="D125" s="386"/>
    </row>
    <row r="126" spans="1:9">
      <c r="D126" s="10" t="s">
        <v>285</v>
      </c>
      <c r="E126" s="38"/>
      <c r="F126" s="38" t="s">
        <v>4116</v>
      </c>
    </row>
    <row r="127" spans="1:9">
      <c r="D127" s="378">
        <v>2016</v>
      </c>
      <c r="F127" s="41" t="s">
        <v>286</v>
      </c>
    </row>
    <row r="128" spans="1:9">
      <c r="A128" s="268" t="s">
        <v>8505</v>
      </c>
      <c r="D128" s="379">
        <f t="shared" ref="D128" si="29">SUM(D129:D145)</f>
        <v>69691</v>
      </c>
    </row>
    <row r="129" spans="1:9">
      <c r="A129" s="268" t="s">
        <v>812</v>
      </c>
      <c r="B129" s="268" t="s">
        <v>8506</v>
      </c>
      <c r="C129" s="1" t="s">
        <v>8507</v>
      </c>
      <c r="D129" s="13">
        <v>5191</v>
      </c>
      <c r="F129" s="268" t="s">
        <v>8383</v>
      </c>
      <c r="G129" s="1"/>
      <c r="I129" s="1"/>
    </row>
    <row r="130" spans="1:9">
      <c r="A130" s="268" t="s">
        <v>813</v>
      </c>
      <c r="B130" s="268" t="s">
        <v>8508</v>
      </c>
      <c r="C130" s="1" t="s">
        <v>8509</v>
      </c>
      <c r="D130" s="13">
        <v>5242</v>
      </c>
      <c r="F130" s="268" t="s">
        <v>8383</v>
      </c>
      <c r="G130" s="1"/>
      <c r="I130" s="1"/>
    </row>
    <row r="131" spans="1:9">
      <c r="A131" s="268" t="s">
        <v>814</v>
      </c>
      <c r="B131" s="268" t="s">
        <v>8510</v>
      </c>
      <c r="C131" s="1" t="s">
        <v>8511</v>
      </c>
      <c r="D131" s="13">
        <v>3654</v>
      </c>
      <c r="F131" s="268" t="s">
        <v>8383</v>
      </c>
      <c r="I131" s="1"/>
    </row>
    <row r="132" spans="1:9">
      <c r="A132" s="268" t="s">
        <v>815</v>
      </c>
      <c r="B132" s="268" t="s">
        <v>8512</v>
      </c>
      <c r="C132" s="1" t="s">
        <v>8513</v>
      </c>
      <c r="D132" s="13">
        <v>3710</v>
      </c>
      <c r="F132" s="268" t="s">
        <v>8383</v>
      </c>
      <c r="I132" s="1"/>
    </row>
    <row r="133" spans="1:9">
      <c r="A133" s="268" t="s">
        <v>816</v>
      </c>
      <c r="B133" s="268" t="s">
        <v>8514</v>
      </c>
      <c r="C133" s="1" t="s">
        <v>8515</v>
      </c>
      <c r="D133" s="13">
        <v>4967</v>
      </c>
      <c r="F133" s="268" t="s">
        <v>8383</v>
      </c>
      <c r="G133" s="1"/>
      <c r="I133" s="1"/>
    </row>
    <row r="134" spans="1:9">
      <c r="A134" s="268" t="s">
        <v>826</v>
      </c>
      <c r="B134" s="268" t="s">
        <v>8516</v>
      </c>
      <c r="C134" s="1" t="s">
        <v>8517</v>
      </c>
      <c r="D134" s="13">
        <v>5414</v>
      </c>
      <c r="F134" s="268" t="s">
        <v>8383</v>
      </c>
      <c r="G134" s="1"/>
      <c r="I134" s="1"/>
    </row>
    <row r="135" spans="1:9">
      <c r="A135" s="268" t="s">
        <v>827</v>
      </c>
      <c r="B135" s="268" t="s">
        <v>8518</v>
      </c>
      <c r="C135" s="1" t="s">
        <v>8519</v>
      </c>
      <c r="D135" s="13">
        <v>3950</v>
      </c>
      <c r="F135" s="268" t="s">
        <v>8383</v>
      </c>
      <c r="G135" s="1"/>
      <c r="I135" s="1"/>
    </row>
    <row r="136" spans="1:9">
      <c r="A136" s="268" t="s">
        <v>828</v>
      </c>
      <c r="B136" s="268" t="s">
        <v>8520</v>
      </c>
      <c r="C136" s="1" t="s">
        <v>8521</v>
      </c>
      <c r="D136" s="13">
        <v>2042</v>
      </c>
      <c r="F136" s="268" t="s">
        <v>8383</v>
      </c>
      <c r="G136" s="1"/>
      <c r="I136" s="1"/>
    </row>
    <row r="137" spans="1:9">
      <c r="A137" s="268" t="s">
        <v>829</v>
      </c>
      <c r="B137" s="268" t="s">
        <v>8522</v>
      </c>
      <c r="C137" s="1" t="s">
        <v>8523</v>
      </c>
      <c r="D137" s="13">
        <v>3887</v>
      </c>
      <c r="F137" s="268" t="s">
        <v>8383</v>
      </c>
      <c r="G137" s="1"/>
      <c r="I137" s="1"/>
    </row>
    <row r="138" spans="1:9">
      <c r="A138" s="268" t="s">
        <v>830</v>
      </c>
      <c r="B138" s="268" t="s">
        <v>8524</v>
      </c>
      <c r="C138" s="1" t="s">
        <v>8525</v>
      </c>
      <c r="D138" s="13">
        <v>4262</v>
      </c>
      <c r="F138" s="268" t="s">
        <v>8383</v>
      </c>
      <c r="G138" s="1"/>
      <c r="I138" s="1"/>
    </row>
    <row r="139" spans="1:9">
      <c r="A139" s="268" t="s">
        <v>831</v>
      </c>
      <c r="B139" s="268" t="s">
        <v>8526</v>
      </c>
      <c r="C139" s="1" t="s">
        <v>8527</v>
      </c>
      <c r="D139" s="13">
        <v>5130</v>
      </c>
      <c r="F139" s="268" t="s">
        <v>8383</v>
      </c>
      <c r="G139" s="1"/>
      <c r="I139" s="1"/>
    </row>
    <row r="140" spans="1:9">
      <c r="A140" s="268" t="s">
        <v>832</v>
      </c>
      <c r="B140" s="268" t="s">
        <v>8528</v>
      </c>
      <c r="C140" s="1" t="s">
        <v>8529</v>
      </c>
      <c r="D140" s="13">
        <v>4616</v>
      </c>
      <c r="F140" s="268" t="s">
        <v>8383</v>
      </c>
      <c r="G140" s="1"/>
      <c r="I140" s="1"/>
    </row>
    <row r="141" spans="1:9">
      <c r="A141" s="268" t="s">
        <v>833</v>
      </c>
      <c r="B141" s="268" t="s">
        <v>6124</v>
      </c>
      <c r="C141" s="1" t="s">
        <v>8530</v>
      </c>
      <c r="D141" s="13">
        <v>3541</v>
      </c>
      <c r="F141" s="268" t="s">
        <v>8383</v>
      </c>
      <c r="I141" s="1"/>
    </row>
    <row r="142" spans="1:9">
      <c r="A142" s="268" t="s">
        <v>834</v>
      </c>
      <c r="B142" s="268" t="s">
        <v>740</v>
      </c>
      <c r="C142" s="1" t="s">
        <v>8531</v>
      </c>
      <c r="D142" s="13">
        <v>3256</v>
      </c>
      <c r="F142" s="268" t="s">
        <v>8383</v>
      </c>
      <c r="G142" s="1"/>
      <c r="I142" s="1"/>
    </row>
    <row r="143" spans="1:9">
      <c r="A143" s="268" t="s">
        <v>835</v>
      </c>
      <c r="B143" s="268" t="s">
        <v>8532</v>
      </c>
      <c r="C143" s="1" t="s">
        <v>8533</v>
      </c>
      <c r="D143" s="13">
        <v>3316</v>
      </c>
      <c r="F143" s="268" t="s">
        <v>8383</v>
      </c>
      <c r="G143" s="1"/>
      <c r="I143" s="1"/>
    </row>
    <row r="144" spans="1:9">
      <c r="A144" s="268" t="s">
        <v>836</v>
      </c>
      <c r="B144" s="268" t="s">
        <v>8534</v>
      </c>
      <c r="C144" s="1" t="s">
        <v>8535</v>
      </c>
      <c r="D144" s="13">
        <v>4032</v>
      </c>
      <c r="F144" s="268" t="s">
        <v>8383</v>
      </c>
      <c r="G144" s="1"/>
      <c r="I144" s="1"/>
    </row>
    <row r="145" spans="1:9">
      <c r="A145" s="268" t="s">
        <v>837</v>
      </c>
      <c r="B145" s="268" t="s">
        <v>8536</v>
      </c>
      <c r="C145" s="1" t="s">
        <v>8537</v>
      </c>
      <c r="D145" s="13">
        <v>3481</v>
      </c>
      <c r="F145" s="268" t="s">
        <v>8383</v>
      </c>
      <c r="G145" s="1"/>
      <c r="I145" s="1"/>
    </row>
    <row r="146" spans="1:9">
      <c r="D146" s="380"/>
    </row>
    <row r="147" spans="1:9">
      <c r="A147" s="268" t="s">
        <v>8538</v>
      </c>
      <c r="D147" s="379">
        <f t="shared" ref="D147" si="30">SUM(D129:D145)</f>
        <v>69691</v>
      </c>
    </row>
    <row r="148" spans="1:9">
      <c r="A148" s="268"/>
      <c r="D148" s="379"/>
    </row>
    <row r="149" spans="1:9">
      <c r="A149" s="268" t="s">
        <v>8539</v>
      </c>
      <c r="D149" s="379"/>
    </row>
    <row r="150" spans="1:9">
      <c r="A150" s="268"/>
      <c r="B150" s="268"/>
      <c r="D150" s="386"/>
    </row>
    <row r="151" spans="1:9">
      <c r="A151" s="268"/>
      <c r="B151" s="268"/>
      <c r="D151" s="386"/>
    </row>
    <row r="152" spans="1:9">
      <c r="D152" s="10" t="s">
        <v>285</v>
      </c>
      <c r="E152" s="38"/>
      <c r="F152" s="38" t="s">
        <v>4116</v>
      </c>
    </row>
    <row r="153" spans="1:9">
      <c r="D153" s="378">
        <v>2016</v>
      </c>
      <c r="F153" s="41" t="s">
        <v>286</v>
      </c>
    </row>
    <row r="154" spans="1:9">
      <c r="A154" s="268" t="s">
        <v>8540</v>
      </c>
      <c r="D154" s="379">
        <f t="shared" ref="D154" si="31">SUM(D155:D196)</f>
        <v>110945</v>
      </c>
    </row>
    <row r="155" spans="1:9">
      <c r="A155" s="268" t="s">
        <v>812</v>
      </c>
      <c r="B155" s="268" t="s">
        <v>8541</v>
      </c>
      <c r="C155" s="1" t="s">
        <v>8542</v>
      </c>
      <c r="D155" s="8">
        <v>3570</v>
      </c>
      <c r="F155" s="268" t="s">
        <v>7015</v>
      </c>
      <c r="G155" s="1"/>
      <c r="I155" s="1"/>
    </row>
    <row r="156" spans="1:9">
      <c r="A156" s="268" t="s">
        <v>813</v>
      </c>
      <c r="B156" s="268" t="s">
        <v>8543</v>
      </c>
      <c r="C156" s="1" t="s">
        <v>8544</v>
      </c>
      <c r="D156" s="7">
        <v>1279</v>
      </c>
      <c r="F156" s="268" t="s">
        <v>8387</v>
      </c>
      <c r="G156" s="1"/>
      <c r="I156" s="1"/>
    </row>
    <row r="157" spans="1:9">
      <c r="A157" s="268" t="s">
        <v>814</v>
      </c>
      <c r="B157" s="268" t="s">
        <v>8545</v>
      </c>
      <c r="C157" s="1" t="s">
        <v>8546</v>
      </c>
      <c r="D157" s="7">
        <v>1435</v>
      </c>
      <c r="F157" s="268" t="s">
        <v>8387</v>
      </c>
      <c r="G157" s="1"/>
      <c r="I157" s="1"/>
    </row>
    <row r="158" spans="1:9">
      <c r="A158" s="268" t="s">
        <v>815</v>
      </c>
      <c r="B158" s="268" t="s">
        <v>8547</v>
      </c>
      <c r="C158" s="1" t="s">
        <v>8548</v>
      </c>
      <c r="D158" s="7">
        <v>1791</v>
      </c>
      <c r="F158" s="268" t="s">
        <v>8387</v>
      </c>
      <c r="G158" s="1"/>
      <c r="I158" s="1"/>
    </row>
    <row r="159" spans="1:9">
      <c r="A159" s="268" t="s">
        <v>816</v>
      </c>
      <c r="B159" s="268" t="s">
        <v>6600</v>
      </c>
      <c r="C159" s="1" t="s">
        <v>8549</v>
      </c>
      <c r="D159" s="8">
        <v>5513</v>
      </c>
      <c r="F159" s="268" t="s">
        <v>7015</v>
      </c>
      <c r="G159" s="1"/>
      <c r="I159" s="1"/>
    </row>
    <row r="160" spans="1:9">
      <c r="A160" s="268" t="s">
        <v>826</v>
      </c>
      <c r="B160" s="268" t="s">
        <v>8550</v>
      </c>
      <c r="C160" s="1" t="s">
        <v>8551</v>
      </c>
      <c r="D160" s="7">
        <v>3979</v>
      </c>
      <c r="F160" s="268" t="s">
        <v>8387</v>
      </c>
      <c r="G160" s="1"/>
      <c r="I160" s="1"/>
    </row>
    <row r="161" spans="1:9">
      <c r="A161" s="268" t="s">
        <v>827</v>
      </c>
      <c r="B161" s="268" t="s">
        <v>8552</v>
      </c>
      <c r="C161" s="1" t="s">
        <v>8553</v>
      </c>
      <c r="D161" s="7">
        <v>1515</v>
      </c>
      <c r="F161" s="268" t="s">
        <v>8387</v>
      </c>
      <c r="G161" s="1"/>
      <c r="I161" s="1"/>
    </row>
    <row r="162" spans="1:9">
      <c r="A162" s="268" t="s">
        <v>828</v>
      </c>
      <c r="B162" s="268" t="s">
        <v>8554</v>
      </c>
      <c r="C162" s="1" t="s">
        <v>8555</v>
      </c>
      <c r="D162" s="8">
        <v>2040</v>
      </c>
      <c r="F162" s="268" t="s">
        <v>7015</v>
      </c>
      <c r="G162" s="1"/>
      <c r="I162" s="1"/>
    </row>
    <row r="163" spans="1:9">
      <c r="A163" s="268" t="s">
        <v>829</v>
      </c>
      <c r="B163" s="268" t="s">
        <v>8556</v>
      </c>
      <c r="C163" s="1" t="s">
        <v>8557</v>
      </c>
      <c r="D163" s="8">
        <v>2208</v>
      </c>
      <c r="F163" s="268" t="s">
        <v>7015</v>
      </c>
      <c r="G163" s="1"/>
      <c r="I163" s="1"/>
    </row>
    <row r="164" spans="1:9">
      <c r="A164" s="268" t="s">
        <v>830</v>
      </c>
      <c r="B164" s="268" t="s">
        <v>8558</v>
      </c>
      <c r="C164" s="1" t="s">
        <v>8559</v>
      </c>
      <c r="D164" s="8">
        <v>3744</v>
      </c>
      <c r="F164" s="268" t="s">
        <v>7015</v>
      </c>
      <c r="G164" s="1"/>
      <c r="I164" s="1"/>
    </row>
    <row r="165" spans="1:9">
      <c r="A165" s="268" t="s">
        <v>831</v>
      </c>
      <c r="B165" s="268" t="s">
        <v>8560</v>
      </c>
      <c r="C165" s="1" t="s">
        <v>8561</v>
      </c>
      <c r="D165" s="7">
        <v>3643</v>
      </c>
      <c r="F165" s="268" t="s">
        <v>8387</v>
      </c>
      <c r="G165" s="1"/>
      <c r="I165" s="1"/>
    </row>
    <row r="166" spans="1:9">
      <c r="A166" s="268" t="s">
        <v>832</v>
      </c>
      <c r="B166" s="268" t="s">
        <v>8562</v>
      </c>
      <c r="C166" s="1" t="s">
        <v>8563</v>
      </c>
      <c r="D166" s="7">
        <v>1869</v>
      </c>
      <c r="F166" s="268" t="s">
        <v>8387</v>
      </c>
      <c r="G166" s="1"/>
      <c r="I166" s="1"/>
    </row>
    <row r="167" spans="1:9">
      <c r="A167" s="268" t="s">
        <v>833</v>
      </c>
      <c r="B167" s="268" t="s">
        <v>8564</v>
      </c>
      <c r="C167" s="1" t="s">
        <v>8565</v>
      </c>
      <c r="D167" s="7">
        <v>3168</v>
      </c>
      <c r="F167" s="268" t="s">
        <v>8387</v>
      </c>
      <c r="G167" s="1"/>
      <c r="I167" s="1"/>
    </row>
    <row r="168" spans="1:9">
      <c r="A168" s="268" t="s">
        <v>834</v>
      </c>
      <c r="B168" s="268" t="s">
        <v>8566</v>
      </c>
      <c r="C168" s="1" t="s">
        <v>8567</v>
      </c>
      <c r="D168" s="7">
        <v>5591</v>
      </c>
      <c r="F168" s="268" t="s">
        <v>8387</v>
      </c>
      <c r="G168" s="1"/>
      <c r="I168" s="1"/>
    </row>
    <row r="169" spans="1:9">
      <c r="A169" s="268" t="s">
        <v>835</v>
      </c>
      <c r="B169" s="268" t="s">
        <v>8568</v>
      </c>
      <c r="C169" s="1" t="s">
        <v>8569</v>
      </c>
      <c r="D169" s="7">
        <v>1900</v>
      </c>
      <c r="F169" s="268" t="s">
        <v>8387</v>
      </c>
      <c r="G169" s="1"/>
      <c r="I169" s="1"/>
    </row>
    <row r="170" spans="1:9">
      <c r="A170" s="268" t="s">
        <v>836</v>
      </c>
      <c r="B170" s="268" t="s">
        <v>8570</v>
      </c>
      <c r="C170" s="1" t="s">
        <v>8571</v>
      </c>
      <c r="D170" s="7">
        <v>3944</v>
      </c>
      <c r="F170" s="268" t="s">
        <v>8387</v>
      </c>
      <c r="G170" s="1"/>
      <c r="I170" s="1"/>
    </row>
    <row r="171" spans="1:9">
      <c r="A171" s="268" t="s">
        <v>837</v>
      </c>
      <c r="B171" s="268" t="s">
        <v>8572</v>
      </c>
      <c r="C171" s="1" t="s">
        <v>8573</v>
      </c>
      <c r="D171" s="8">
        <v>1901</v>
      </c>
      <c r="F171" s="268" t="s">
        <v>7015</v>
      </c>
      <c r="G171" s="1"/>
      <c r="I171" s="1"/>
    </row>
    <row r="172" spans="1:9">
      <c r="A172" s="268" t="s">
        <v>838</v>
      </c>
      <c r="B172" s="268" t="s">
        <v>8574</v>
      </c>
      <c r="C172" s="1" t="s">
        <v>8575</v>
      </c>
      <c r="D172" s="7">
        <v>4474</v>
      </c>
      <c r="F172" s="268" t="s">
        <v>8387</v>
      </c>
      <c r="G172" s="1"/>
      <c r="I172" s="1"/>
    </row>
    <row r="173" spans="1:9">
      <c r="A173" s="268" t="s">
        <v>840</v>
      </c>
      <c r="B173" s="268" t="s">
        <v>8576</v>
      </c>
      <c r="C173" s="1" t="s">
        <v>8577</v>
      </c>
      <c r="D173" s="8">
        <v>1993</v>
      </c>
      <c r="F173" s="268" t="s">
        <v>7015</v>
      </c>
      <c r="G173" s="1"/>
      <c r="I173" s="1"/>
    </row>
    <row r="174" spans="1:9">
      <c r="A174" s="268" t="s">
        <v>841</v>
      </c>
      <c r="B174" s="268" t="s">
        <v>8578</v>
      </c>
      <c r="C174" s="1" t="s">
        <v>8579</v>
      </c>
      <c r="D174" s="8">
        <v>1843</v>
      </c>
      <c r="F174" s="268" t="s">
        <v>7015</v>
      </c>
      <c r="G174" s="1"/>
      <c r="I174" s="1"/>
    </row>
    <row r="175" spans="1:9">
      <c r="A175" s="268" t="s">
        <v>878</v>
      </c>
      <c r="B175" s="268" t="s">
        <v>8580</v>
      </c>
      <c r="C175" s="1" t="s">
        <v>8581</v>
      </c>
      <c r="D175" s="7">
        <v>3214</v>
      </c>
      <c r="F175" s="268" t="s">
        <v>8387</v>
      </c>
      <c r="G175" s="1"/>
      <c r="I175" s="1"/>
    </row>
    <row r="176" spans="1:9">
      <c r="A176" s="268" t="s">
        <v>879</v>
      </c>
      <c r="B176" s="268" t="s">
        <v>8582</v>
      </c>
      <c r="C176" s="1" t="s">
        <v>8583</v>
      </c>
      <c r="D176" s="7">
        <v>1911</v>
      </c>
      <c r="F176" s="268" t="s">
        <v>8387</v>
      </c>
      <c r="G176" s="1"/>
      <c r="I176" s="1"/>
    </row>
    <row r="177" spans="1:9">
      <c r="A177" s="268" t="s">
        <v>880</v>
      </c>
      <c r="B177" s="268" t="s">
        <v>8584</v>
      </c>
      <c r="C177" s="1" t="s">
        <v>8585</v>
      </c>
      <c r="D177" s="7">
        <v>1545</v>
      </c>
      <c r="F177" s="268" t="s">
        <v>8387</v>
      </c>
      <c r="G177" s="1"/>
      <c r="I177" s="1"/>
    </row>
    <row r="178" spans="1:9">
      <c r="A178" s="268" t="s">
        <v>721</v>
      </c>
      <c r="B178" s="268" t="s">
        <v>502</v>
      </c>
      <c r="C178" s="1" t="s">
        <v>8586</v>
      </c>
      <c r="D178" s="8">
        <v>2035</v>
      </c>
      <c r="F178" s="268" t="s">
        <v>8387</v>
      </c>
      <c r="G178" s="1"/>
      <c r="I178" s="1"/>
    </row>
    <row r="179" spans="1:9">
      <c r="A179" s="268" t="s">
        <v>722</v>
      </c>
      <c r="B179" s="268" t="s">
        <v>8587</v>
      </c>
      <c r="C179" s="1" t="s">
        <v>8588</v>
      </c>
      <c r="D179" s="8">
        <v>1808</v>
      </c>
      <c r="F179" s="268" t="s">
        <v>8387</v>
      </c>
      <c r="G179" s="1"/>
      <c r="I179" s="1"/>
    </row>
    <row r="180" spans="1:9">
      <c r="A180" s="268" t="s">
        <v>723</v>
      </c>
      <c r="B180" s="268" t="s">
        <v>8589</v>
      </c>
      <c r="C180" s="1" t="s">
        <v>8590</v>
      </c>
      <c r="D180" s="8">
        <v>1929</v>
      </c>
      <c r="F180" s="268" t="s">
        <v>7015</v>
      </c>
      <c r="G180" s="1"/>
      <c r="I180" s="1"/>
    </row>
    <row r="181" spans="1:9">
      <c r="A181" s="268" t="s">
        <v>733</v>
      </c>
      <c r="B181" s="268" t="s">
        <v>8591</v>
      </c>
      <c r="C181" s="1" t="s">
        <v>8592</v>
      </c>
      <c r="D181" s="8">
        <v>2658</v>
      </c>
      <c r="F181" s="268" t="s">
        <v>8387</v>
      </c>
      <c r="G181" s="1"/>
      <c r="I181" s="1"/>
    </row>
    <row r="182" spans="1:9">
      <c r="A182" s="268" t="s">
        <v>734</v>
      </c>
      <c r="B182" s="268" t="s">
        <v>8593</v>
      </c>
      <c r="C182" s="1" t="s">
        <v>8594</v>
      </c>
      <c r="D182" s="8">
        <v>3432</v>
      </c>
      <c r="F182" s="268" t="s">
        <v>8387</v>
      </c>
      <c r="G182" s="1"/>
      <c r="I182" s="1"/>
    </row>
    <row r="183" spans="1:9">
      <c r="A183" s="268" t="s">
        <v>735</v>
      </c>
      <c r="B183" s="268" t="s">
        <v>8595</v>
      </c>
      <c r="C183" s="1" t="s">
        <v>8596</v>
      </c>
      <c r="D183" s="8">
        <v>3058</v>
      </c>
      <c r="F183" s="268" t="s">
        <v>8387</v>
      </c>
      <c r="G183" s="1"/>
      <c r="I183" s="1"/>
    </row>
    <row r="184" spans="1:9">
      <c r="A184" s="268" t="s">
        <v>736</v>
      </c>
      <c r="B184" s="268" t="s">
        <v>8597</v>
      </c>
      <c r="C184" s="1" t="s">
        <v>8598</v>
      </c>
      <c r="D184" s="8">
        <v>1903</v>
      </c>
      <c r="F184" s="268" t="s">
        <v>7015</v>
      </c>
      <c r="G184" s="1"/>
      <c r="I184" s="1"/>
    </row>
    <row r="185" spans="1:9">
      <c r="A185" s="268" t="s">
        <v>931</v>
      </c>
      <c r="B185" s="268" t="s">
        <v>8599</v>
      </c>
      <c r="C185" s="1" t="s">
        <v>8600</v>
      </c>
      <c r="D185" s="8">
        <v>3634</v>
      </c>
      <c r="F185" s="268" t="s">
        <v>8387</v>
      </c>
      <c r="G185" s="1"/>
      <c r="I185" s="1"/>
    </row>
    <row r="186" spans="1:9">
      <c r="A186" s="268" t="s">
        <v>932</v>
      </c>
      <c r="B186" s="268" t="s">
        <v>8601</v>
      </c>
      <c r="C186" s="1" t="s">
        <v>8602</v>
      </c>
      <c r="D186" s="8">
        <v>3696</v>
      </c>
      <c r="F186" s="268" t="s">
        <v>8387</v>
      </c>
      <c r="G186" s="1"/>
      <c r="I186" s="1"/>
    </row>
    <row r="187" spans="1:9">
      <c r="A187" s="268" t="s">
        <v>933</v>
      </c>
      <c r="B187" s="268" t="s">
        <v>8603</v>
      </c>
      <c r="C187" s="1" t="s">
        <v>8604</v>
      </c>
      <c r="D187" s="8">
        <v>1562</v>
      </c>
      <c r="F187" s="268" t="s">
        <v>8387</v>
      </c>
      <c r="G187" s="1"/>
      <c r="I187" s="1"/>
    </row>
    <row r="188" spans="1:9">
      <c r="A188" s="268" t="s">
        <v>934</v>
      </c>
      <c r="B188" s="268" t="s">
        <v>8605</v>
      </c>
      <c r="C188" s="1" t="s">
        <v>8606</v>
      </c>
      <c r="D188" s="8">
        <v>3916</v>
      </c>
      <c r="F188" s="268" t="s">
        <v>7015</v>
      </c>
      <c r="G188" s="1"/>
      <c r="I188" s="1"/>
    </row>
    <row r="189" spans="1:9">
      <c r="A189" s="268" t="s">
        <v>376</v>
      </c>
      <c r="B189" s="268" t="s">
        <v>8607</v>
      </c>
      <c r="C189" s="1" t="s">
        <v>8608</v>
      </c>
      <c r="D189" s="8">
        <v>1890</v>
      </c>
      <c r="F189" s="268" t="s">
        <v>8387</v>
      </c>
      <c r="G189" s="1"/>
      <c r="I189" s="1"/>
    </row>
    <row r="190" spans="1:9">
      <c r="A190" s="268" t="s">
        <v>377</v>
      </c>
      <c r="B190" s="268" t="s">
        <v>8609</v>
      </c>
      <c r="C190" s="1" t="s">
        <v>8610</v>
      </c>
      <c r="D190" s="8">
        <v>1797</v>
      </c>
      <c r="F190" s="268" t="s">
        <v>8387</v>
      </c>
      <c r="G190" s="1"/>
      <c r="I190" s="1"/>
    </row>
    <row r="191" spans="1:9">
      <c r="A191" s="268" t="s">
        <v>338</v>
      </c>
      <c r="B191" s="268" t="s">
        <v>3066</v>
      </c>
      <c r="C191" s="1" t="s">
        <v>8611</v>
      </c>
      <c r="D191" s="8">
        <v>2126</v>
      </c>
      <c r="F191" s="268" t="s">
        <v>8387</v>
      </c>
      <c r="G191" s="1"/>
      <c r="I191" s="1"/>
    </row>
    <row r="192" spans="1:9">
      <c r="A192" s="268" t="s">
        <v>339</v>
      </c>
      <c r="B192" s="268" t="s">
        <v>8612</v>
      </c>
      <c r="C192" s="1" t="s">
        <v>8613</v>
      </c>
      <c r="D192" s="8">
        <v>1957</v>
      </c>
      <c r="F192" s="268" t="s">
        <v>7015</v>
      </c>
      <c r="G192" s="1"/>
      <c r="I192" s="1"/>
    </row>
    <row r="193" spans="1:9">
      <c r="A193" s="268" t="s">
        <v>340</v>
      </c>
      <c r="B193" s="268" t="s">
        <v>8614</v>
      </c>
      <c r="C193" s="1" t="s">
        <v>8615</v>
      </c>
      <c r="D193" s="8">
        <v>3851</v>
      </c>
      <c r="F193" s="268" t="s">
        <v>8387</v>
      </c>
      <c r="G193" s="1"/>
      <c r="I193" s="1"/>
    </row>
    <row r="194" spans="1:9">
      <c r="A194" s="268" t="s">
        <v>8616</v>
      </c>
      <c r="B194" s="268" t="s">
        <v>8617</v>
      </c>
      <c r="C194" s="1" t="s">
        <v>8618</v>
      </c>
      <c r="D194" s="8">
        <v>1664</v>
      </c>
      <c r="F194" s="268" t="s">
        <v>7015</v>
      </c>
      <c r="G194" s="1"/>
      <c r="I194" s="1"/>
    </row>
    <row r="195" spans="1:9">
      <c r="A195" s="387">
        <v>41</v>
      </c>
      <c r="B195" s="268" t="s">
        <v>8619</v>
      </c>
      <c r="C195" s="1" t="s">
        <v>8620</v>
      </c>
      <c r="D195" s="8">
        <v>2029</v>
      </c>
      <c r="F195" s="268" t="s">
        <v>7015</v>
      </c>
      <c r="G195" s="1"/>
      <c r="I195" s="1"/>
    </row>
    <row r="196" spans="1:9">
      <c r="A196" s="387">
        <v>42</v>
      </c>
      <c r="B196" s="268" t="s">
        <v>8621</v>
      </c>
      <c r="C196" s="1" t="s">
        <v>8622</v>
      </c>
      <c r="D196" s="8">
        <v>1930</v>
      </c>
      <c r="F196" s="268" t="s">
        <v>7015</v>
      </c>
      <c r="G196" s="1"/>
      <c r="I196" s="1"/>
    </row>
    <row r="197" spans="1:9">
      <c r="D197" s="380"/>
    </row>
    <row r="198" spans="1:9">
      <c r="A198" s="268" t="s">
        <v>8387</v>
      </c>
      <c r="D198" s="379">
        <f>SUM(D156:D158)+D160+D161+SUM(D165:D170)+D172+SUM(D175:D179)+SUM(D181:D183)+SUM(D185:D187)+SUM(D189:D191)+D193</f>
        <v>72805</v>
      </c>
    </row>
    <row r="199" spans="1:9">
      <c r="A199" s="268" t="s">
        <v>7131</v>
      </c>
      <c r="D199" s="379">
        <f>D155+D159+SUM(D162:D164)+D171+D173+D174+D180+D184+D188+D192+SUM(D194:D196)</f>
        <v>38140</v>
      </c>
    </row>
    <row r="200" spans="1:9">
      <c r="A200" s="268"/>
      <c r="D200" s="379"/>
    </row>
    <row r="201" spans="1:9">
      <c r="A201" s="268" t="s">
        <v>8623</v>
      </c>
      <c r="D201" s="379"/>
    </row>
    <row r="202" spans="1:9">
      <c r="A202" s="268" t="s">
        <v>8624</v>
      </c>
      <c r="D202" s="379"/>
    </row>
    <row r="203" spans="1:9">
      <c r="A203" s="268"/>
      <c r="B203" s="268"/>
      <c r="D203" s="386"/>
    </row>
    <row r="204" spans="1:9">
      <c r="A204" s="268"/>
      <c r="B204" s="268"/>
      <c r="D204" s="386"/>
    </row>
    <row r="205" spans="1:9">
      <c r="D205" s="10" t="s">
        <v>285</v>
      </c>
      <c r="E205" s="38"/>
      <c r="F205" s="38" t="s">
        <v>4116</v>
      </c>
    </row>
    <row r="206" spans="1:9">
      <c r="D206" s="378">
        <v>2016</v>
      </c>
      <c r="F206" s="41" t="s">
        <v>286</v>
      </c>
    </row>
    <row r="207" spans="1:9" ht="17.25" customHeight="1">
      <c r="A207" s="268" t="s">
        <v>8625</v>
      </c>
      <c r="D207" s="379">
        <f t="shared" ref="D207" si="32">SUM(D208:D241)</f>
        <v>80922</v>
      </c>
    </row>
    <row r="208" spans="1:9">
      <c r="A208" s="268" t="s">
        <v>812</v>
      </c>
      <c r="B208" s="268" t="s">
        <v>8626</v>
      </c>
      <c r="C208" s="1" t="s">
        <v>8627</v>
      </c>
      <c r="D208" s="7">
        <v>1774</v>
      </c>
      <c r="F208" s="268" t="s">
        <v>8380</v>
      </c>
      <c r="G208" s="1"/>
      <c r="I208" s="1"/>
    </row>
    <row r="209" spans="1:9">
      <c r="A209" s="268" t="s">
        <v>813</v>
      </c>
      <c r="B209" s="268" t="s">
        <v>8628</v>
      </c>
      <c r="C209" s="1" t="s">
        <v>8629</v>
      </c>
      <c r="D209" s="7">
        <v>1955</v>
      </c>
      <c r="F209" s="268" t="s">
        <v>8380</v>
      </c>
      <c r="G209" s="1"/>
      <c r="I209" s="1"/>
    </row>
    <row r="210" spans="1:9">
      <c r="A210" s="268" t="s">
        <v>814</v>
      </c>
      <c r="B210" s="268" t="s">
        <v>8630</v>
      </c>
      <c r="C210" s="1" t="s">
        <v>8631</v>
      </c>
      <c r="D210" s="7">
        <v>1920</v>
      </c>
      <c r="F210" s="268" t="s">
        <v>8386</v>
      </c>
      <c r="G210" s="1"/>
      <c r="I210" s="1"/>
    </row>
    <row r="211" spans="1:9">
      <c r="A211" s="268" t="s">
        <v>815</v>
      </c>
      <c r="B211" s="268" t="s">
        <v>8632</v>
      </c>
      <c r="C211" s="1" t="s">
        <v>8633</v>
      </c>
      <c r="D211" s="7">
        <v>1872</v>
      </c>
      <c r="F211" s="268" t="s">
        <v>8386</v>
      </c>
      <c r="G211" s="1"/>
      <c r="I211" s="1"/>
    </row>
    <row r="212" spans="1:9">
      <c r="A212" s="268" t="s">
        <v>816</v>
      </c>
      <c r="B212" s="268" t="s">
        <v>8634</v>
      </c>
      <c r="C212" s="1" t="s">
        <v>8635</v>
      </c>
      <c r="D212" s="7">
        <v>2825</v>
      </c>
      <c r="F212" s="268" t="s">
        <v>8386</v>
      </c>
      <c r="G212" s="1"/>
      <c r="I212" s="1"/>
    </row>
    <row r="213" spans="1:9">
      <c r="A213" s="268" t="s">
        <v>826</v>
      </c>
      <c r="B213" s="268" t="s">
        <v>8636</v>
      </c>
      <c r="C213" s="1" t="s">
        <v>8637</v>
      </c>
      <c r="D213" s="7">
        <v>1898</v>
      </c>
      <c r="F213" s="268" t="s">
        <v>8386</v>
      </c>
      <c r="G213" s="1"/>
      <c r="I213" s="1"/>
    </row>
    <row r="214" spans="1:9">
      <c r="A214" s="268" t="s">
        <v>827</v>
      </c>
      <c r="B214" s="268" t="s">
        <v>8638</v>
      </c>
      <c r="C214" s="1" t="s">
        <v>8639</v>
      </c>
      <c r="D214" s="7">
        <v>1958</v>
      </c>
      <c r="F214" s="268" t="s">
        <v>8386</v>
      </c>
      <c r="G214" s="1"/>
      <c r="I214" s="1"/>
    </row>
    <row r="215" spans="1:9">
      <c r="A215" s="268" t="s">
        <v>828</v>
      </c>
      <c r="B215" s="268" t="s">
        <v>8640</v>
      </c>
      <c r="C215" s="1" t="s">
        <v>8641</v>
      </c>
      <c r="D215" s="7">
        <v>1719</v>
      </c>
      <c r="F215" s="268" t="s">
        <v>8386</v>
      </c>
      <c r="G215" s="1"/>
      <c r="I215" s="1"/>
    </row>
    <row r="216" spans="1:9">
      <c r="A216" s="268" t="s">
        <v>829</v>
      </c>
      <c r="B216" s="268" t="s">
        <v>8642</v>
      </c>
      <c r="C216" s="1" t="s">
        <v>8643</v>
      </c>
      <c r="D216" s="7">
        <v>2013</v>
      </c>
      <c r="F216" s="268" t="s">
        <v>8386</v>
      </c>
      <c r="G216" s="1"/>
      <c r="I216" s="1"/>
    </row>
    <row r="217" spans="1:9">
      <c r="A217" s="268" t="s">
        <v>830</v>
      </c>
      <c r="B217" s="268" t="s">
        <v>8644</v>
      </c>
      <c r="C217" s="1" t="s">
        <v>8645</v>
      </c>
      <c r="D217" s="7">
        <v>1549</v>
      </c>
      <c r="F217" s="268" t="s">
        <v>8386</v>
      </c>
      <c r="G217" s="1"/>
      <c r="I217" s="1"/>
    </row>
    <row r="218" spans="1:9">
      <c r="A218" s="268" t="s">
        <v>831</v>
      </c>
      <c r="B218" s="268" t="s">
        <v>8646</v>
      </c>
      <c r="C218" s="1" t="s">
        <v>8647</v>
      </c>
      <c r="D218" s="8">
        <v>2868</v>
      </c>
      <c r="F218" s="268" t="s">
        <v>8386</v>
      </c>
      <c r="G218" s="1"/>
      <c r="I218" s="1"/>
    </row>
    <row r="219" spans="1:9">
      <c r="A219" s="268" t="s">
        <v>832</v>
      </c>
      <c r="B219" s="268" t="s">
        <v>8648</v>
      </c>
      <c r="C219" s="1" t="s">
        <v>8649</v>
      </c>
      <c r="D219" s="8">
        <v>1834</v>
      </c>
      <c r="F219" s="268" t="s">
        <v>8386</v>
      </c>
      <c r="G219" s="1"/>
      <c r="I219" s="1"/>
    </row>
    <row r="220" spans="1:9">
      <c r="A220" s="268" t="s">
        <v>833</v>
      </c>
      <c r="B220" s="268" t="s">
        <v>8650</v>
      </c>
      <c r="C220" s="1" t="s">
        <v>8651</v>
      </c>
      <c r="D220" s="7">
        <v>2791</v>
      </c>
      <c r="F220" s="268" t="s">
        <v>8380</v>
      </c>
      <c r="G220" s="1"/>
      <c r="I220" s="1"/>
    </row>
    <row r="221" spans="1:9">
      <c r="A221" s="268" t="s">
        <v>834</v>
      </c>
      <c r="B221" s="268" t="s">
        <v>8652</v>
      </c>
      <c r="C221" s="1" t="s">
        <v>8653</v>
      </c>
      <c r="D221" s="7">
        <v>3186</v>
      </c>
      <c r="F221" s="268" t="s">
        <v>8380</v>
      </c>
      <c r="G221" s="1"/>
      <c r="I221" s="1"/>
    </row>
    <row r="222" spans="1:9">
      <c r="A222" s="268" t="s">
        <v>835</v>
      </c>
      <c r="B222" s="268" t="s">
        <v>8654</v>
      </c>
      <c r="C222" s="1" t="s">
        <v>8655</v>
      </c>
      <c r="D222" s="8">
        <v>3328</v>
      </c>
      <c r="F222" s="268" t="s">
        <v>8386</v>
      </c>
      <c r="G222" s="1"/>
      <c r="I222" s="1"/>
    </row>
    <row r="223" spans="1:9">
      <c r="A223" s="268" t="s">
        <v>836</v>
      </c>
      <c r="B223" s="268" t="s">
        <v>8656</v>
      </c>
      <c r="C223" s="1" t="s">
        <v>8657</v>
      </c>
      <c r="D223" s="8">
        <v>3305</v>
      </c>
      <c r="F223" s="268" t="s">
        <v>8386</v>
      </c>
      <c r="G223" s="1"/>
      <c r="I223" s="1"/>
    </row>
    <row r="224" spans="1:9">
      <c r="A224" s="268" t="s">
        <v>837</v>
      </c>
      <c r="B224" s="268" t="s">
        <v>8658</v>
      </c>
      <c r="C224" s="1" t="s">
        <v>8659</v>
      </c>
      <c r="D224" s="8">
        <v>3135</v>
      </c>
      <c r="F224" s="268" t="s">
        <v>8386</v>
      </c>
      <c r="G224" s="1"/>
      <c r="I224" s="1"/>
    </row>
    <row r="225" spans="1:9">
      <c r="A225" s="268" t="s">
        <v>838</v>
      </c>
      <c r="B225" s="268" t="s">
        <v>8660</v>
      </c>
      <c r="C225" s="1" t="s">
        <v>8661</v>
      </c>
      <c r="D225" s="8">
        <v>3308</v>
      </c>
      <c r="F225" s="268" t="s">
        <v>8386</v>
      </c>
      <c r="G225" s="1"/>
      <c r="I225" s="1"/>
    </row>
    <row r="226" spans="1:9">
      <c r="A226" s="268" t="s">
        <v>840</v>
      </c>
      <c r="B226" s="268" t="s">
        <v>8662</v>
      </c>
      <c r="C226" s="1" t="s">
        <v>8663</v>
      </c>
      <c r="D226" s="8">
        <v>1988</v>
      </c>
      <c r="F226" s="268" t="s">
        <v>8386</v>
      </c>
      <c r="G226" s="1"/>
      <c r="I226" s="1"/>
    </row>
    <row r="227" spans="1:9">
      <c r="A227" s="268" t="s">
        <v>841</v>
      </c>
      <c r="B227" s="268" t="s">
        <v>502</v>
      </c>
      <c r="C227" s="1" t="s">
        <v>8664</v>
      </c>
      <c r="D227" s="8">
        <v>3164</v>
      </c>
      <c r="F227" s="268" t="s">
        <v>8386</v>
      </c>
      <c r="G227" s="1"/>
      <c r="I227" s="1"/>
    </row>
    <row r="228" spans="1:9">
      <c r="A228" s="268" t="s">
        <v>878</v>
      </c>
      <c r="B228" s="268" t="s">
        <v>5031</v>
      </c>
      <c r="C228" s="1" t="s">
        <v>8665</v>
      </c>
      <c r="D228" s="8">
        <v>1896</v>
      </c>
      <c r="F228" s="268" t="s">
        <v>8386</v>
      </c>
      <c r="G228" s="1"/>
      <c r="I228" s="1"/>
    </row>
    <row r="229" spans="1:9">
      <c r="A229" s="268" t="s">
        <v>879</v>
      </c>
      <c r="B229" s="268" t="s">
        <v>8666</v>
      </c>
      <c r="C229" s="1" t="s">
        <v>8667</v>
      </c>
      <c r="D229" s="8">
        <v>1956</v>
      </c>
      <c r="F229" s="268" t="s">
        <v>8386</v>
      </c>
      <c r="G229" s="1"/>
      <c r="I229" s="1"/>
    </row>
    <row r="230" spans="1:9">
      <c r="A230" s="268" t="s">
        <v>880</v>
      </c>
      <c r="B230" s="268" t="s">
        <v>8668</v>
      </c>
      <c r="C230" s="1" t="s">
        <v>8669</v>
      </c>
      <c r="D230" s="8">
        <v>1781</v>
      </c>
      <c r="F230" s="268" t="s">
        <v>8386</v>
      </c>
      <c r="G230" s="1"/>
      <c r="I230" s="1"/>
    </row>
    <row r="231" spans="1:9">
      <c r="A231" s="268" t="s">
        <v>721</v>
      </c>
      <c r="B231" s="268" t="s">
        <v>8670</v>
      </c>
      <c r="C231" s="1" t="s">
        <v>8671</v>
      </c>
      <c r="D231" s="8">
        <v>2761</v>
      </c>
      <c r="F231" s="268" t="s">
        <v>8386</v>
      </c>
      <c r="G231" s="1"/>
      <c r="I231" s="1"/>
    </row>
    <row r="232" spans="1:9">
      <c r="A232" s="268" t="s">
        <v>722</v>
      </c>
      <c r="B232" s="268" t="s">
        <v>8672</v>
      </c>
      <c r="C232" s="1" t="s">
        <v>8673</v>
      </c>
      <c r="D232" s="8">
        <v>3116</v>
      </c>
      <c r="F232" s="268" t="s">
        <v>8386</v>
      </c>
      <c r="G232" s="1"/>
      <c r="I232" s="1"/>
    </row>
    <row r="233" spans="1:9">
      <c r="A233" s="268" t="s">
        <v>723</v>
      </c>
      <c r="B233" s="268" t="s">
        <v>8674</v>
      </c>
      <c r="C233" s="1" t="s">
        <v>8675</v>
      </c>
      <c r="D233" s="8">
        <v>3355</v>
      </c>
      <c r="F233" s="268" t="s">
        <v>8386</v>
      </c>
      <c r="G233" s="1"/>
      <c r="I233" s="1"/>
    </row>
    <row r="234" spans="1:9">
      <c r="A234" s="268" t="s">
        <v>733</v>
      </c>
      <c r="B234" s="268" t="s">
        <v>8676</v>
      </c>
      <c r="C234" s="1" t="s">
        <v>8677</v>
      </c>
      <c r="D234" s="8">
        <v>3177</v>
      </c>
      <c r="F234" s="268" t="s">
        <v>8386</v>
      </c>
      <c r="G234" s="1"/>
      <c r="I234" s="1"/>
    </row>
    <row r="235" spans="1:9">
      <c r="A235" s="268" t="s">
        <v>734</v>
      </c>
      <c r="B235" s="268" t="s">
        <v>8678</v>
      </c>
      <c r="C235" s="1" t="s">
        <v>8679</v>
      </c>
      <c r="D235" s="7">
        <v>1957</v>
      </c>
      <c r="F235" s="268" t="s">
        <v>8380</v>
      </c>
      <c r="G235" s="1"/>
      <c r="I235" s="1"/>
    </row>
    <row r="236" spans="1:9">
      <c r="A236" s="268" t="s">
        <v>735</v>
      </c>
      <c r="B236" s="268" t="s">
        <v>8680</v>
      </c>
      <c r="C236" s="1" t="s">
        <v>8681</v>
      </c>
      <c r="D236" s="8">
        <v>1754</v>
      </c>
      <c r="F236" s="268" t="s">
        <v>8386</v>
      </c>
      <c r="G236" s="1"/>
      <c r="I236" s="1"/>
    </row>
    <row r="237" spans="1:9">
      <c r="A237" s="268" t="s">
        <v>736</v>
      </c>
      <c r="B237" s="268" t="s">
        <v>8682</v>
      </c>
      <c r="C237" s="1" t="s">
        <v>8683</v>
      </c>
      <c r="D237" s="7">
        <v>1750</v>
      </c>
      <c r="F237" s="268" t="s">
        <v>8380</v>
      </c>
      <c r="G237" s="1"/>
      <c r="I237" s="1"/>
    </row>
    <row r="238" spans="1:9">
      <c r="A238" s="268" t="s">
        <v>931</v>
      </c>
      <c r="B238" s="268" t="s">
        <v>8684</v>
      </c>
      <c r="C238" s="1" t="s">
        <v>8685</v>
      </c>
      <c r="D238" s="8">
        <v>3535</v>
      </c>
      <c r="F238" s="268" t="s">
        <v>8386</v>
      </c>
      <c r="G238" s="1"/>
      <c r="I238" s="1"/>
    </row>
    <row r="239" spans="1:9">
      <c r="A239" s="268" t="s">
        <v>932</v>
      </c>
      <c r="B239" s="268" t="s">
        <v>8686</v>
      </c>
      <c r="C239" s="1" t="s">
        <v>8687</v>
      </c>
      <c r="D239" s="8">
        <v>1764</v>
      </c>
      <c r="F239" s="268" t="s">
        <v>8386</v>
      </c>
      <c r="G239" s="1"/>
      <c r="I239" s="1"/>
    </row>
    <row r="240" spans="1:9">
      <c r="A240" s="268" t="s">
        <v>933</v>
      </c>
      <c r="B240" s="268" t="s">
        <v>8688</v>
      </c>
      <c r="C240" s="1" t="s">
        <v>8689</v>
      </c>
      <c r="D240" s="7">
        <v>1824</v>
      </c>
      <c r="F240" s="268" t="s">
        <v>8380</v>
      </c>
      <c r="G240" s="1"/>
      <c r="I240" s="1"/>
    </row>
    <row r="241" spans="1:9">
      <c r="A241" s="268" t="s">
        <v>934</v>
      </c>
      <c r="B241" s="268" t="s">
        <v>8690</v>
      </c>
      <c r="C241" s="1" t="s">
        <v>8691</v>
      </c>
      <c r="D241" s="8">
        <v>1906</v>
      </c>
      <c r="F241" s="268" t="s">
        <v>8386</v>
      </c>
      <c r="G241" s="1"/>
      <c r="I241" s="1"/>
    </row>
    <row r="242" spans="1:9">
      <c r="D242" s="380"/>
    </row>
    <row r="243" spans="1:9">
      <c r="A243" s="377" t="s">
        <v>8444</v>
      </c>
      <c r="D243" s="380">
        <f>D208+D209+D220+D221+D235+D237+D240</f>
        <v>15237</v>
      </c>
    </row>
    <row r="244" spans="1:9">
      <c r="A244" s="268" t="s">
        <v>8502</v>
      </c>
      <c r="D244" s="379">
        <f>SUM(D210:D219)+SUM(D222:D234)+D236+D238+D239+D241</f>
        <v>65685</v>
      </c>
    </row>
    <row r="245" spans="1:9">
      <c r="A245" s="268"/>
      <c r="D245" s="379"/>
    </row>
    <row r="246" spans="1:9">
      <c r="A246" s="268" t="s">
        <v>8692</v>
      </c>
      <c r="D246" s="379"/>
    </row>
    <row r="247" spans="1:9">
      <c r="A247" s="268" t="s">
        <v>8693</v>
      </c>
      <c r="B247" s="268"/>
      <c r="D247" s="386"/>
    </row>
    <row r="248" spans="1:9">
      <c r="A248" s="268"/>
      <c r="B248" s="268"/>
      <c r="D248" s="386"/>
    </row>
    <row r="249" spans="1:9">
      <c r="A249" s="268"/>
      <c r="B249" s="268"/>
      <c r="D249" s="386"/>
    </row>
    <row r="250" spans="1:9">
      <c r="D250" s="10" t="s">
        <v>285</v>
      </c>
      <c r="E250" s="38"/>
      <c r="F250" s="38" t="s">
        <v>4116</v>
      </c>
    </row>
    <row r="251" spans="1:9">
      <c r="D251" s="378">
        <v>2016</v>
      </c>
      <c r="F251" s="41" t="s">
        <v>286</v>
      </c>
    </row>
    <row r="252" spans="1:9">
      <c r="A252" s="268" t="s">
        <v>8694</v>
      </c>
      <c r="D252" s="379">
        <f t="shared" ref="D252" si="33">SUM(D253:D265)</f>
        <v>93077</v>
      </c>
    </row>
    <row r="253" spans="1:9">
      <c r="A253" s="268" t="s">
        <v>812</v>
      </c>
      <c r="B253" s="268" t="s">
        <v>8695</v>
      </c>
      <c r="C253" s="1" t="s">
        <v>8696</v>
      </c>
      <c r="D253" s="13">
        <v>7872</v>
      </c>
      <c r="F253" s="268" t="s">
        <v>8390</v>
      </c>
      <c r="G253" s="1"/>
      <c r="I253" s="1"/>
    </row>
    <row r="254" spans="1:9">
      <c r="A254" s="268" t="s">
        <v>813</v>
      </c>
      <c r="B254" s="268" t="s">
        <v>8697</v>
      </c>
      <c r="C254" s="1" t="s">
        <v>8698</v>
      </c>
      <c r="D254" s="13">
        <v>7267</v>
      </c>
      <c r="F254" s="268" t="s">
        <v>8388</v>
      </c>
      <c r="G254" s="1"/>
      <c r="I254" s="1"/>
    </row>
    <row r="255" spans="1:9">
      <c r="A255" s="268" t="s">
        <v>814</v>
      </c>
      <c r="B255" s="268" t="s">
        <v>8699</v>
      </c>
      <c r="C255" s="1" t="s">
        <v>8700</v>
      </c>
      <c r="D255" s="13">
        <v>6943</v>
      </c>
      <c r="F255" s="268" t="s">
        <v>8388</v>
      </c>
      <c r="G255" s="1"/>
      <c r="I255" s="1"/>
    </row>
    <row r="256" spans="1:9">
      <c r="A256" s="268" t="s">
        <v>815</v>
      </c>
      <c r="B256" s="268" t="s">
        <v>8701</v>
      </c>
      <c r="C256" s="1" t="s">
        <v>8702</v>
      </c>
      <c r="D256" s="13">
        <v>7167</v>
      </c>
      <c r="F256" s="268" t="s">
        <v>8390</v>
      </c>
      <c r="G256" s="1"/>
      <c r="I256" s="1"/>
    </row>
    <row r="257" spans="1:9">
      <c r="A257" s="268" t="s">
        <v>816</v>
      </c>
      <c r="B257" s="268" t="s">
        <v>8703</v>
      </c>
      <c r="C257" s="1" t="s">
        <v>8704</v>
      </c>
      <c r="D257" s="13">
        <v>6709</v>
      </c>
      <c r="F257" s="268" t="s">
        <v>8390</v>
      </c>
      <c r="G257" s="1"/>
      <c r="I257" s="1"/>
    </row>
    <row r="258" spans="1:9">
      <c r="A258" s="268" t="s">
        <v>826</v>
      </c>
      <c r="B258" s="268" t="s">
        <v>8705</v>
      </c>
      <c r="C258" s="1" t="s">
        <v>8706</v>
      </c>
      <c r="D258" s="13">
        <v>7466</v>
      </c>
      <c r="F258" s="268" t="s">
        <v>8390</v>
      </c>
      <c r="G258" s="1"/>
      <c r="I258" s="1"/>
    </row>
    <row r="259" spans="1:9">
      <c r="A259" s="268" t="s">
        <v>827</v>
      </c>
      <c r="B259" s="268" t="s">
        <v>8707</v>
      </c>
      <c r="C259" s="1" t="s">
        <v>8708</v>
      </c>
      <c r="D259" s="13">
        <v>6939</v>
      </c>
      <c r="F259" s="268" t="s">
        <v>8388</v>
      </c>
      <c r="G259" s="1"/>
      <c r="I259" s="1"/>
    </row>
    <row r="260" spans="1:9">
      <c r="A260" s="268" t="s">
        <v>828</v>
      </c>
      <c r="B260" s="268" t="s">
        <v>8528</v>
      </c>
      <c r="C260" s="1" t="s">
        <v>8709</v>
      </c>
      <c r="D260" s="13">
        <v>6650</v>
      </c>
      <c r="F260" s="268" t="s">
        <v>8390</v>
      </c>
      <c r="G260" s="1"/>
      <c r="I260" s="1"/>
    </row>
    <row r="261" spans="1:9">
      <c r="A261" s="268" t="s">
        <v>829</v>
      </c>
      <c r="B261" s="268" t="s">
        <v>8710</v>
      </c>
      <c r="C261" s="1" t="s">
        <v>8711</v>
      </c>
      <c r="D261" s="13">
        <v>7091</v>
      </c>
      <c r="F261" s="268" t="s">
        <v>8388</v>
      </c>
      <c r="G261" s="1"/>
      <c r="I261" s="1"/>
    </row>
    <row r="262" spans="1:9">
      <c r="A262" s="268" t="s">
        <v>830</v>
      </c>
      <c r="B262" s="268" t="s">
        <v>8712</v>
      </c>
      <c r="C262" s="1" t="s">
        <v>8713</v>
      </c>
      <c r="D262" s="13">
        <v>8199</v>
      </c>
      <c r="F262" s="268" t="s">
        <v>8390</v>
      </c>
      <c r="G262" s="1"/>
      <c r="I262" s="1"/>
    </row>
    <row r="263" spans="1:9">
      <c r="A263" s="268" t="s">
        <v>831</v>
      </c>
      <c r="B263" s="268" t="s">
        <v>8714</v>
      </c>
      <c r="C263" s="1" t="s">
        <v>8715</v>
      </c>
      <c r="D263" s="13">
        <v>7968</v>
      </c>
      <c r="F263" s="268" t="s">
        <v>8390</v>
      </c>
      <c r="G263" s="1"/>
      <c r="I263" s="1"/>
    </row>
    <row r="264" spans="1:9">
      <c r="A264" s="268" t="s">
        <v>832</v>
      </c>
      <c r="B264" s="268" t="s">
        <v>8716</v>
      </c>
      <c r="C264" s="1" t="s">
        <v>8717</v>
      </c>
      <c r="D264" s="13">
        <v>5101</v>
      </c>
      <c r="F264" s="268" t="s">
        <v>8390</v>
      </c>
      <c r="G264" s="1"/>
      <c r="I264" s="1"/>
    </row>
    <row r="265" spans="1:9">
      <c r="A265" s="268" t="s">
        <v>833</v>
      </c>
      <c r="B265" s="268" t="s">
        <v>8688</v>
      </c>
      <c r="C265" s="1" t="s">
        <v>8718</v>
      </c>
      <c r="D265" s="13">
        <v>7705</v>
      </c>
      <c r="F265" s="268" t="s">
        <v>8388</v>
      </c>
      <c r="G265" s="1"/>
      <c r="I265" s="1"/>
    </row>
    <row r="266" spans="1:9">
      <c r="D266" s="380"/>
    </row>
    <row r="267" spans="1:9">
      <c r="A267" s="268" t="s">
        <v>8503</v>
      </c>
      <c r="D267" s="379">
        <f>D254+D255+D259+D261+D265</f>
        <v>35945</v>
      </c>
    </row>
    <row r="268" spans="1:9">
      <c r="A268" s="268" t="s">
        <v>8719</v>
      </c>
      <c r="D268" s="379">
        <f>D253+SUM(D256:D258)+D260+SUM(D262:D264)</f>
        <v>57132</v>
      </c>
    </row>
    <row r="269" spans="1:9">
      <c r="A269" s="268"/>
      <c r="D269" s="379"/>
    </row>
    <row r="270" spans="1:9">
      <c r="A270" s="268" t="s">
        <v>8720</v>
      </c>
      <c r="D270" s="379"/>
    </row>
    <row r="271" spans="1:9">
      <c r="A271" s="268"/>
      <c r="B271" s="268"/>
      <c r="D271" s="386"/>
    </row>
    <row r="272" spans="1:9">
      <c r="A272" s="268"/>
      <c r="B272" s="268"/>
      <c r="D272" s="386"/>
    </row>
    <row r="273" spans="1:9">
      <c r="D273" s="10" t="s">
        <v>285</v>
      </c>
      <c r="E273" s="38"/>
      <c r="F273" s="38" t="s">
        <v>4116</v>
      </c>
    </row>
    <row r="274" spans="1:9">
      <c r="D274" s="378">
        <v>2016</v>
      </c>
      <c r="F274" s="41" t="s">
        <v>286</v>
      </c>
    </row>
    <row r="275" spans="1:9">
      <c r="A275" s="268" t="s">
        <v>8721</v>
      </c>
      <c r="D275" s="379">
        <f>SUM(D276:D311)</f>
        <v>98595</v>
      </c>
    </row>
    <row r="276" spans="1:9">
      <c r="A276" s="268" t="s">
        <v>812</v>
      </c>
      <c r="B276" s="268" t="s">
        <v>998</v>
      </c>
      <c r="C276" s="1" t="s">
        <v>8722</v>
      </c>
      <c r="D276" s="7">
        <v>2214</v>
      </c>
      <c r="F276" s="268" t="s">
        <v>8391</v>
      </c>
      <c r="G276" s="1"/>
      <c r="I276" s="1"/>
    </row>
    <row r="277" spans="1:9">
      <c r="A277" s="268" t="s">
        <v>813</v>
      </c>
      <c r="B277" s="268" t="s">
        <v>8723</v>
      </c>
      <c r="C277" s="1" t="s">
        <v>8724</v>
      </c>
      <c r="D277" s="7">
        <v>1818</v>
      </c>
      <c r="F277" s="268" t="s">
        <v>8391</v>
      </c>
      <c r="G277" s="1"/>
      <c r="I277" s="1"/>
    </row>
    <row r="278" spans="1:9">
      <c r="A278" s="268" t="s">
        <v>814</v>
      </c>
      <c r="B278" s="268" t="s">
        <v>8725</v>
      </c>
      <c r="C278" s="1" t="s">
        <v>8726</v>
      </c>
      <c r="D278" s="7">
        <v>2228</v>
      </c>
      <c r="F278" s="268" t="s">
        <v>8391</v>
      </c>
      <c r="G278" s="1"/>
      <c r="I278" s="1"/>
    </row>
    <row r="279" spans="1:9">
      <c r="A279" s="268" t="s">
        <v>815</v>
      </c>
      <c r="B279" s="268" t="s">
        <v>8727</v>
      </c>
      <c r="C279" s="1" t="s">
        <v>8728</v>
      </c>
      <c r="D279" s="7">
        <v>2085</v>
      </c>
      <c r="F279" s="268" t="s">
        <v>8391</v>
      </c>
      <c r="G279" s="1"/>
      <c r="I279" s="1"/>
    </row>
    <row r="280" spans="1:9">
      <c r="A280" s="268" t="s">
        <v>816</v>
      </c>
      <c r="B280" s="268" t="s">
        <v>8729</v>
      </c>
      <c r="C280" s="1" t="s">
        <v>8730</v>
      </c>
      <c r="D280" s="7">
        <v>2166</v>
      </c>
      <c r="F280" s="268" t="s">
        <v>8391</v>
      </c>
      <c r="G280" s="1"/>
      <c r="I280" s="1"/>
    </row>
    <row r="281" spans="1:9">
      <c r="A281" s="268" t="s">
        <v>826</v>
      </c>
      <c r="B281" s="268" t="s">
        <v>8731</v>
      </c>
      <c r="C281" s="1" t="s">
        <v>8732</v>
      </c>
      <c r="D281" s="7">
        <v>2108</v>
      </c>
      <c r="F281" s="268" t="s">
        <v>8391</v>
      </c>
      <c r="G281" s="1"/>
      <c r="I281" s="1"/>
    </row>
    <row r="282" spans="1:9">
      <c r="A282" s="268" t="s">
        <v>827</v>
      </c>
      <c r="B282" s="268" t="s">
        <v>8733</v>
      </c>
      <c r="C282" s="1" t="s">
        <v>8734</v>
      </c>
      <c r="D282" s="7">
        <v>4448</v>
      </c>
      <c r="F282" s="268" t="s">
        <v>8390</v>
      </c>
      <c r="G282" s="1"/>
      <c r="I282" s="1"/>
    </row>
    <row r="283" spans="1:9">
      <c r="A283" s="268" t="s">
        <v>828</v>
      </c>
      <c r="B283" s="268" t="s">
        <v>8735</v>
      </c>
      <c r="C283" s="1" t="s">
        <v>8736</v>
      </c>
      <c r="D283" s="7">
        <v>2026</v>
      </c>
      <c r="F283" s="268" t="s">
        <v>8391</v>
      </c>
      <c r="G283" s="1"/>
      <c r="I283" s="1"/>
    </row>
    <row r="284" spans="1:9">
      <c r="A284" s="268" t="s">
        <v>829</v>
      </c>
      <c r="B284" s="268" t="s">
        <v>8737</v>
      </c>
      <c r="C284" s="1" t="s">
        <v>8738</v>
      </c>
      <c r="D284" s="7">
        <v>2169</v>
      </c>
      <c r="F284" s="268" t="s">
        <v>8391</v>
      </c>
      <c r="G284" s="1"/>
      <c r="I284" s="1"/>
    </row>
    <row r="285" spans="1:9">
      <c r="A285" s="268" t="s">
        <v>830</v>
      </c>
      <c r="B285" s="268" t="s">
        <v>8739</v>
      </c>
      <c r="C285" s="1" t="s">
        <v>8740</v>
      </c>
      <c r="D285" s="8">
        <v>5757</v>
      </c>
      <c r="F285" s="268" t="s">
        <v>8391</v>
      </c>
      <c r="G285" s="1"/>
      <c r="I285" s="1"/>
    </row>
    <row r="286" spans="1:9">
      <c r="A286" s="268" t="s">
        <v>831</v>
      </c>
      <c r="B286" s="268" t="s">
        <v>8741</v>
      </c>
      <c r="C286" s="1" t="s">
        <v>8742</v>
      </c>
      <c r="D286" s="8">
        <v>1945</v>
      </c>
      <c r="F286" s="268" t="s">
        <v>8391</v>
      </c>
      <c r="G286" s="1"/>
      <c r="I286" s="1"/>
    </row>
    <row r="287" spans="1:9">
      <c r="A287" s="268" t="s">
        <v>832</v>
      </c>
      <c r="B287" s="268" t="s">
        <v>8743</v>
      </c>
      <c r="C287" s="1" t="s">
        <v>8744</v>
      </c>
      <c r="D287" s="8">
        <v>1986</v>
      </c>
      <c r="F287" s="268" t="s">
        <v>8391</v>
      </c>
      <c r="G287" s="1"/>
      <c r="I287" s="1"/>
    </row>
    <row r="288" spans="1:9">
      <c r="A288" s="268" t="s">
        <v>833</v>
      </c>
      <c r="B288" s="268" t="s">
        <v>952</v>
      </c>
      <c r="C288" s="1" t="s">
        <v>8745</v>
      </c>
      <c r="D288" s="8">
        <v>2039</v>
      </c>
      <c r="F288" s="268" t="s">
        <v>8391</v>
      </c>
      <c r="G288" s="1"/>
      <c r="I288" s="1"/>
    </row>
    <row r="289" spans="1:9">
      <c r="A289" s="268" t="s">
        <v>834</v>
      </c>
      <c r="B289" s="268" t="s">
        <v>8746</v>
      </c>
      <c r="C289" s="1" t="s">
        <v>8747</v>
      </c>
      <c r="D289" s="8">
        <v>2175</v>
      </c>
      <c r="F289" s="268" t="s">
        <v>8391</v>
      </c>
      <c r="G289" s="1"/>
      <c r="I289" s="1"/>
    </row>
    <row r="290" spans="1:9">
      <c r="A290" s="268" t="s">
        <v>835</v>
      </c>
      <c r="B290" s="268" t="s">
        <v>8748</v>
      </c>
      <c r="C290" s="1" t="s">
        <v>8749</v>
      </c>
      <c r="D290" s="8">
        <v>2261</v>
      </c>
      <c r="F290" s="268" t="s">
        <v>8391</v>
      </c>
      <c r="G290" s="1"/>
      <c r="I290" s="1"/>
    </row>
    <row r="291" spans="1:9">
      <c r="A291" s="268" t="s">
        <v>836</v>
      </c>
      <c r="B291" s="268" t="s">
        <v>8750</v>
      </c>
      <c r="C291" s="1" t="s">
        <v>8751</v>
      </c>
      <c r="D291" s="8">
        <v>3712</v>
      </c>
      <c r="F291" s="268" t="s">
        <v>8391</v>
      </c>
      <c r="G291" s="1"/>
      <c r="I291" s="1"/>
    </row>
    <row r="292" spans="1:9">
      <c r="A292" s="268" t="s">
        <v>837</v>
      </c>
      <c r="B292" s="268" t="s">
        <v>8752</v>
      </c>
      <c r="C292" s="1" t="s">
        <v>8753</v>
      </c>
      <c r="D292" s="8">
        <v>2065</v>
      </c>
      <c r="F292" s="268" t="s">
        <v>8391</v>
      </c>
      <c r="G292" s="1"/>
      <c r="I292" s="1"/>
    </row>
    <row r="293" spans="1:9">
      <c r="A293" s="268" t="s">
        <v>838</v>
      </c>
      <c r="B293" s="268" t="s">
        <v>8754</v>
      </c>
      <c r="C293" s="1" t="s">
        <v>8755</v>
      </c>
      <c r="D293" s="8">
        <v>4470</v>
      </c>
      <c r="F293" s="268" t="s">
        <v>8391</v>
      </c>
      <c r="G293" s="1"/>
      <c r="I293" s="1"/>
    </row>
    <row r="294" spans="1:9">
      <c r="A294" s="268" t="s">
        <v>840</v>
      </c>
      <c r="B294" s="268" t="s">
        <v>8756</v>
      </c>
      <c r="C294" s="1" t="s">
        <v>8757</v>
      </c>
      <c r="D294" s="7">
        <v>2297</v>
      </c>
      <c r="F294" s="268" t="s">
        <v>8385</v>
      </c>
      <c r="G294" s="1"/>
      <c r="I294" s="1"/>
    </row>
    <row r="295" spans="1:9">
      <c r="A295" s="268" t="s">
        <v>841</v>
      </c>
      <c r="B295" s="268" t="s">
        <v>8758</v>
      </c>
      <c r="C295" s="1" t="s">
        <v>8759</v>
      </c>
      <c r="D295" s="8">
        <v>2182</v>
      </c>
      <c r="F295" s="268" t="s">
        <v>8391</v>
      </c>
      <c r="G295" s="1"/>
      <c r="I295" s="1"/>
    </row>
    <row r="296" spans="1:9">
      <c r="A296" s="268" t="s">
        <v>878</v>
      </c>
      <c r="B296" s="268" t="s">
        <v>8760</v>
      </c>
      <c r="C296" s="1" t="s">
        <v>8761</v>
      </c>
      <c r="D296" s="8">
        <v>4088</v>
      </c>
      <c r="F296" s="268" t="s">
        <v>8391</v>
      </c>
      <c r="G296" s="1"/>
      <c r="I296" s="1"/>
    </row>
    <row r="297" spans="1:9">
      <c r="A297" s="268" t="s">
        <v>879</v>
      </c>
      <c r="B297" s="268" t="s">
        <v>8762</v>
      </c>
      <c r="C297" s="1" t="s">
        <v>8763</v>
      </c>
      <c r="D297" s="7">
        <v>4126</v>
      </c>
      <c r="F297" s="268" t="s">
        <v>8390</v>
      </c>
      <c r="G297" s="1"/>
      <c r="I297" s="1"/>
    </row>
    <row r="298" spans="1:9">
      <c r="A298" s="268" t="s">
        <v>880</v>
      </c>
      <c r="B298" s="268" t="s">
        <v>8764</v>
      </c>
      <c r="C298" s="1" t="s">
        <v>8765</v>
      </c>
      <c r="D298" s="8">
        <v>2081</v>
      </c>
      <c r="F298" s="268" t="s">
        <v>8391</v>
      </c>
      <c r="G298" s="1"/>
      <c r="I298" s="1"/>
    </row>
    <row r="299" spans="1:9">
      <c r="A299" s="268" t="s">
        <v>721</v>
      </c>
      <c r="B299" s="268" t="s">
        <v>8766</v>
      </c>
      <c r="C299" s="1" t="s">
        <v>8767</v>
      </c>
      <c r="D299" s="7">
        <v>2149</v>
      </c>
      <c r="F299" s="268" t="s">
        <v>8391</v>
      </c>
      <c r="G299" s="1"/>
      <c r="I299" s="1"/>
    </row>
    <row r="300" spans="1:9">
      <c r="A300" s="268" t="s">
        <v>722</v>
      </c>
      <c r="B300" s="268" t="s">
        <v>8768</v>
      </c>
      <c r="C300" s="1" t="s">
        <v>8769</v>
      </c>
      <c r="D300" s="8">
        <v>6098</v>
      </c>
      <c r="F300" s="268" t="s">
        <v>8390</v>
      </c>
      <c r="G300" s="1"/>
      <c r="I300" s="1"/>
    </row>
    <row r="301" spans="1:9">
      <c r="A301" s="268" t="s">
        <v>723</v>
      </c>
      <c r="B301" s="268" t="s">
        <v>8770</v>
      </c>
      <c r="C301" s="1" t="s">
        <v>8771</v>
      </c>
      <c r="D301" s="8">
        <v>4044</v>
      </c>
      <c r="F301" s="268" t="s">
        <v>8391</v>
      </c>
      <c r="G301" s="1"/>
      <c r="I301" s="1"/>
    </row>
    <row r="302" spans="1:9">
      <c r="A302" s="268" t="s">
        <v>733</v>
      </c>
      <c r="B302" s="268" t="s">
        <v>8772</v>
      </c>
      <c r="C302" s="1" t="s">
        <v>8773</v>
      </c>
      <c r="D302" s="8">
        <v>2308</v>
      </c>
      <c r="F302" s="268" t="s">
        <v>8391</v>
      </c>
      <c r="G302" s="1"/>
      <c r="I302" s="1"/>
    </row>
    <row r="303" spans="1:9">
      <c r="A303" s="268" t="s">
        <v>734</v>
      </c>
      <c r="B303" s="268" t="s">
        <v>7737</v>
      </c>
      <c r="C303" s="1" t="s">
        <v>8774</v>
      </c>
      <c r="D303" s="8">
        <v>1837</v>
      </c>
      <c r="F303" s="268" t="s">
        <v>8391</v>
      </c>
      <c r="G303" s="1"/>
      <c r="I303" s="1"/>
    </row>
    <row r="304" spans="1:9">
      <c r="A304" s="268" t="s">
        <v>735</v>
      </c>
      <c r="B304" s="268" t="s">
        <v>8775</v>
      </c>
      <c r="C304" s="1" t="s">
        <v>8776</v>
      </c>
      <c r="D304" s="7">
        <v>2686</v>
      </c>
      <c r="F304" s="268" t="s">
        <v>8391</v>
      </c>
      <c r="G304" s="1"/>
      <c r="I304" s="1"/>
    </row>
    <row r="305" spans="1:9">
      <c r="A305" s="268" t="s">
        <v>736</v>
      </c>
      <c r="B305" s="268" t="s">
        <v>8777</v>
      </c>
      <c r="C305" s="1" t="s">
        <v>8778</v>
      </c>
      <c r="D305" s="8">
        <v>1893</v>
      </c>
      <c r="F305" s="268" t="s">
        <v>8391</v>
      </c>
      <c r="G305" s="1"/>
      <c r="I305" s="1"/>
    </row>
    <row r="306" spans="1:9">
      <c r="A306" s="268" t="s">
        <v>931</v>
      </c>
      <c r="B306" s="268" t="s">
        <v>8779</v>
      </c>
      <c r="C306" s="1" t="s">
        <v>8780</v>
      </c>
      <c r="D306" s="8">
        <v>2226</v>
      </c>
      <c r="F306" s="268" t="s">
        <v>8391</v>
      </c>
      <c r="G306" s="1"/>
      <c r="I306" s="1"/>
    </row>
    <row r="307" spans="1:9">
      <c r="A307" s="268" t="s">
        <v>932</v>
      </c>
      <c r="B307" s="268" t="s">
        <v>546</v>
      </c>
      <c r="C307" s="1" t="s">
        <v>8781</v>
      </c>
      <c r="D307" s="8">
        <v>4240</v>
      </c>
      <c r="F307" s="268" t="s">
        <v>8391</v>
      </c>
      <c r="G307" s="1"/>
      <c r="I307" s="1"/>
    </row>
    <row r="308" spans="1:9">
      <c r="A308" s="268" t="s">
        <v>933</v>
      </c>
      <c r="B308" s="268" t="s">
        <v>8782</v>
      </c>
      <c r="C308" s="1" t="s">
        <v>8783</v>
      </c>
      <c r="D308" s="8">
        <v>1907</v>
      </c>
      <c r="F308" s="268" t="s">
        <v>8391</v>
      </c>
      <c r="G308" s="1"/>
      <c r="I308" s="1"/>
    </row>
    <row r="309" spans="1:9">
      <c r="A309" s="268" t="s">
        <v>934</v>
      </c>
      <c r="B309" s="268" t="s">
        <v>8784</v>
      </c>
      <c r="C309" s="1" t="s">
        <v>8785</v>
      </c>
      <c r="D309" s="8">
        <v>2216</v>
      </c>
      <c r="F309" s="268" t="s">
        <v>8383</v>
      </c>
      <c r="G309" s="1"/>
      <c r="I309" s="1"/>
    </row>
    <row r="310" spans="1:9">
      <c r="A310" s="268" t="s">
        <v>376</v>
      </c>
      <c r="B310" s="268" t="s">
        <v>2865</v>
      </c>
      <c r="C310" s="1" t="s">
        <v>8786</v>
      </c>
      <c r="D310" s="7">
        <v>2483</v>
      </c>
      <c r="F310" s="268" t="s">
        <v>8391</v>
      </c>
      <c r="G310" s="1"/>
      <c r="I310" s="1"/>
    </row>
    <row r="311" spans="1:9">
      <c r="A311" s="268" t="s">
        <v>377</v>
      </c>
      <c r="B311" s="268" t="s">
        <v>8787</v>
      </c>
      <c r="C311" s="1" t="s">
        <v>8788</v>
      </c>
      <c r="D311" s="7">
        <v>2062</v>
      </c>
      <c r="F311" s="268" t="s">
        <v>8385</v>
      </c>
      <c r="G311" s="1"/>
      <c r="I311" s="1"/>
    </row>
    <row r="312" spans="1:9">
      <c r="D312" s="380"/>
    </row>
    <row r="313" spans="1:9">
      <c r="A313" s="268" t="s">
        <v>8538</v>
      </c>
      <c r="D313" s="380">
        <f>D309</f>
        <v>2216</v>
      </c>
    </row>
    <row r="314" spans="1:9">
      <c r="A314" s="377" t="s">
        <v>8445</v>
      </c>
      <c r="D314" s="380">
        <f>D294+D311</f>
        <v>4359</v>
      </c>
    </row>
    <row r="315" spans="1:9">
      <c r="A315" s="268" t="s">
        <v>8719</v>
      </c>
      <c r="D315" s="379">
        <f>D282+D297+D300</f>
        <v>14672</v>
      </c>
    </row>
    <row r="316" spans="1:9">
      <c r="A316" s="268" t="s">
        <v>8391</v>
      </c>
      <c r="D316" s="379">
        <f>SUM(D276:D281)+SUM(D283:D293)+D295+D296+D298+D299+SUM(D301:D308)+D310</f>
        <v>77348</v>
      </c>
    </row>
    <row r="318" spans="1:9">
      <c r="A318" s="377" t="s">
        <v>8789</v>
      </c>
    </row>
    <row r="319" spans="1:9">
      <c r="A319" s="377" t="s">
        <v>8790</v>
      </c>
    </row>
  </sheetData>
  <printOptions gridLinesSet="0"/>
  <pageMargins left="0.78740157480314965" right="0" top="0.51181102362204722" bottom="0.51181102362204722" header="0.51181102362204722" footer="0.51181102362204722"/>
  <pageSetup paperSize="9" scale="69" orientation="portrait" horizontalDpi="300" verticalDpi="300" r:id="rId1"/>
  <headerFooter alignWithMargins="0">
    <oddFooter>&amp;C&amp;"Times New Roman,Regular"&amp;8&amp;P of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312"/>
  <sheetViews>
    <sheetView showGridLines="0" zoomScaleNormal="100" workbookViewId="0"/>
  </sheetViews>
  <sheetFormatPr defaultColWidth="12.59765625" defaultRowHeight="14.5"/>
  <cols>
    <col min="1" max="1" width="4.69921875" style="650" customWidth="1"/>
    <col min="2" max="2" width="40.69921875" style="650" customWidth="1"/>
    <col min="3" max="3" width="11.59765625" style="650" customWidth="1"/>
    <col min="4" max="4" width="10" style="650" customWidth="1"/>
    <col min="5" max="5" width="2.296875" style="650" customWidth="1"/>
    <col min="6" max="6" width="33.09765625" style="650" customWidth="1"/>
    <col min="7" max="16384" width="12.59765625" style="650"/>
  </cols>
  <sheetData>
    <row r="1" spans="1:6">
      <c r="A1" s="649" t="s">
        <v>1075</v>
      </c>
      <c r="D1" s="651">
        <v>2016</v>
      </c>
    </row>
    <row r="3" spans="1:6">
      <c r="A3" s="649" t="s">
        <v>10774</v>
      </c>
      <c r="D3" s="652">
        <f t="shared" ref="D3" si="0">SUM(D7:D13)</f>
        <v>442491</v>
      </c>
    </row>
    <row r="4" spans="1:6" ht="15" thickBot="1">
      <c r="A4" s="649" t="s">
        <v>10775</v>
      </c>
      <c r="D4" s="653">
        <f>D55</f>
        <v>147364</v>
      </c>
    </row>
    <row r="5" spans="1:6" ht="15" thickBot="1">
      <c r="A5" s="649"/>
      <c r="D5" s="654">
        <f>D3+D4</f>
        <v>589855</v>
      </c>
    </row>
    <row r="6" spans="1:6">
      <c r="D6" s="655"/>
    </row>
    <row r="7" spans="1:6">
      <c r="A7" s="649" t="s">
        <v>10776</v>
      </c>
      <c r="C7" s="649"/>
      <c r="D7" s="652">
        <f t="shared" ref="D7" si="1">D86</f>
        <v>42127</v>
      </c>
      <c r="F7" s="656"/>
    </row>
    <row r="8" spans="1:6">
      <c r="A8" s="649" t="s">
        <v>10777</v>
      </c>
      <c r="C8" s="649"/>
      <c r="D8" s="652">
        <f t="shared" ref="D8" si="2">D115</f>
        <v>67293</v>
      </c>
      <c r="F8" s="656"/>
    </row>
    <row r="9" spans="1:6">
      <c r="A9" s="649" t="s">
        <v>10778</v>
      </c>
      <c r="C9" s="649"/>
      <c r="D9" s="652">
        <f t="shared" ref="D9" si="3">D142</f>
        <v>115996</v>
      </c>
      <c r="F9" s="656"/>
    </row>
    <row r="10" spans="1:6">
      <c r="A10" s="649" t="s">
        <v>10779</v>
      </c>
      <c r="C10" s="649"/>
      <c r="D10" s="652">
        <f t="shared" ref="D10" si="4">D188</f>
        <v>34366</v>
      </c>
      <c r="F10" s="656"/>
    </row>
    <row r="11" spans="1:6">
      <c r="A11" s="649" t="s">
        <v>10780</v>
      </c>
      <c r="C11" s="649"/>
      <c r="D11" s="652">
        <f t="shared" ref="D11" si="5">D221</f>
        <v>39668</v>
      </c>
      <c r="F11" s="656"/>
    </row>
    <row r="12" spans="1:6">
      <c r="A12" s="649" t="s">
        <v>10781</v>
      </c>
      <c r="C12" s="649"/>
      <c r="D12" s="652">
        <f t="shared" ref="D12" si="6">D250</f>
        <v>79890</v>
      </c>
      <c r="F12" s="656"/>
    </row>
    <row r="13" spans="1:6">
      <c r="A13" s="649" t="s">
        <v>10782</v>
      </c>
      <c r="C13" s="649"/>
      <c r="D13" s="652">
        <f t="shared" ref="D13" si="7">D285</f>
        <v>63151</v>
      </c>
      <c r="F13" s="656"/>
    </row>
    <row r="15" spans="1:6">
      <c r="A15" s="649" t="s">
        <v>10783</v>
      </c>
      <c r="D15" s="652">
        <f t="shared" ref="D15" si="8">D179</f>
        <v>71868</v>
      </c>
      <c r="F15" s="649" t="s">
        <v>10784</v>
      </c>
    </row>
    <row r="16" spans="1:6">
      <c r="D16" s="657" t="s">
        <v>5706</v>
      </c>
    </row>
    <row r="17" spans="1:6">
      <c r="A17" s="658" t="s">
        <v>10785</v>
      </c>
      <c r="D17" s="659">
        <f>D306</f>
        <v>2196</v>
      </c>
      <c r="F17" s="649" t="s">
        <v>10786</v>
      </c>
    </row>
    <row r="18" spans="1:6" ht="15" thickBot="1">
      <c r="D18" s="660">
        <f>'WEST YORKSHIRE'!D50</f>
        <v>69081</v>
      </c>
      <c r="F18" s="650" t="s">
        <v>10787</v>
      </c>
    </row>
    <row r="19" spans="1:6" ht="15" thickBot="1">
      <c r="D19" s="653">
        <f t="shared" ref="D19" si="9">D17+D18</f>
        <v>71277</v>
      </c>
    </row>
    <row r="20" spans="1:6">
      <c r="D20" s="657"/>
    </row>
    <row r="21" spans="1:6">
      <c r="A21" s="650" t="s">
        <v>10788</v>
      </c>
      <c r="D21" s="659">
        <f>D307</f>
        <v>2240</v>
      </c>
      <c r="F21" s="649" t="s">
        <v>10786</v>
      </c>
    </row>
    <row r="22" spans="1:6" ht="15" thickBot="1">
      <c r="D22" s="660">
        <f>'WEST YORKSHIRE'!D54</f>
        <v>69006</v>
      </c>
      <c r="F22" s="650" t="s">
        <v>10787</v>
      </c>
    </row>
    <row r="23" spans="1:6" ht="15" thickBot="1">
      <c r="D23" s="653">
        <f t="shared" ref="D23" si="10">D21+D22</f>
        <v>71246</v>
      </c>
    </row>
    <row r="24" spans="1:6">
      <c r="D24" s="657"/>
    </row>
    <row r="25" spans="1:6">
      <c r="A25" s="649" t="s">
        <v>10789</v>
      </c>
      <c r="D25" s="652">
        <f t="shared" ref="D25" si="11">D134</f>
        <v>37763</v>
      </c>
      <c r="F25" s="649" t="s">
        <v>10790</v>
      </c>
    </row>
    <row r="26" spans="1:6" ht="15" thickBot="1">
      <c r="D26" s="653">
        <f t="shared" ref="D26" si="12">D214</f>
        <v>34366</v>
      </c>
      <c r="F26" s="649" t="s">
        <v>10579</v>
      </c>
    </row>
    <row r="27" spans="1:6" ht="15" thickBot="1">
      <c r="D27" s="653">
        <f t="shared" ref="D27" si="13">D25+D26</f>
        <v>72129</v>
      </c>
    </row>
    <row r="28" spans="1:6">
      <c r="D28" s="657" t="s">
        <v>5706</v>
      </c>
    </row>
    <row r="29" spans="1:6">
      <c r="A29" s="649" t="s">
        <v>10791</v>
      </c>
      <c r="D29" s="652">
        <f t="shared" ref="D29" si="14">D277</f>
        <v>75963</v>
      </c>
      <c r="F29" s="649" t="s">
        <v>10792</v>
      </c>
    </row>
    <row r="30" spans="1:6">
      <c r="D30" s="657" t="s">
        <v>5706</v>
      </c>
    </row>
    <row r="31" spans="1:6">
      <c r="A31" s="649" t="s">
        <v>10793</v>
      </c>
      <c r="D31" s="652">
        <f t="shared" ref="D31" si="15">D180</f>
        <v>14502</v>
      </c>
      <c r="F31" s="649" t="s">
        <v>10784</v>
      </c>
    </row>
    <row r="32" spans="1:6" ht="15" thickBot="1">
      <c r="D32" s="653">
        <f t="shared" ref="D32" si="16">D308</f>
        <v>58715</v>
      </c>
      <c r="F32" s="649" t="s">
        <v>10786</v>
      </c>
    </row>
    <row r="33" spans="1:6" ht="15" thickBot="1">
      <c r="D33" s="653">
        <f t="shared" ref="D33" si="17">D31+D32</f>
        <v>73217</v>
      </c>
    </row>
    <row r="34" spans="1:6">
      <c r="D34" s="657" t="s">
        <v>5706</v>
      </c>
    </row>
    <row r="35" spans="1:6">
      <c r="A35" s="649" t="s">
        <v>10794</v>
      </c>
      <c r="D35" s="652">
        <f t="shared" ref="D35" si="18">D107</f>
        <v>42127</v>
      </c>
      <c r="F35" s="649" t="s">
        <v>10576</v>
      </c>
    </row>
    <row r="36" spans="1:6" ht="15" thickBot="1">
      <c r="D36" s="653">
        <f t="shared" ref="D36" si="19">D181</f>
        <v>29626</v>
      </c>
      <c r="F36" s="649" t="s">
        <v>10784</v>
      </c>
    </row>
    <row r="37" spans="1:6" ht="15" thickBot="1">
      <c r="D37" s="653">
        <f t="shared" ref="D37" si="20">D35+D36</f>
        <v>71753</v>
      </c>
    </row>
    <row r="38" spans="1:6">
      <c r="D38" s="657" t="s">
        <v>5706</v>
      </c>
    </row>
    <row r="39" spans="1:6">
      <c r="A39" s="649" t="s">
        <v>10795</v>
      </c>
      <c r="D39" s="652">
        <f t="shared" ref="D39" si="21">D135</f>
        <v>29530</v>
      </c>
      <c r="F39" s="649" t="s">
        <v>10790</v>
      </c>
    </row>
    <row r="40" spans="1:6">
      <c r="D40" s="652">
        <f t="shared" ref="D40" si="22">D243</f>
        <v>39668</v>
      </c>
      <c r="F40" s="649" t="s">
        <v>10580</v>
      </c>
    </row>
    <row r="41" spans="1:6" ht="15" thickBot="1">
      <c r="D41" s="653">
        <f t="shared" ref="D41" si="23">D278</f>
        <v>3927</v>
      </c>
      <c r="F41" s="649" t="s">
        <v>10792</v>
      </c>
    </row>
    <row r="42" spans="1:6" ht="15" thickBot="1">
      <c r="D42" s="653">
        <f t="shared" ref="D42" si="24">SUM(D39:D41)</f>
        <v>73125</v>
      </c>
    </row>
    <row r="43" spans="1:6">
      <c r="D43" s="661"/>
    </row>
    <row r="44" spans="1:6">
      <c r="A44" s="649" t="s">
        <v>10796</v>
      </c>
      <c r="D44" s="652">
        <f>D78</f>
        <v>76146</v>
      </c>
      <c r="F44" s="649" t="s">
        <v>10797</v>
      </c>
    </row>
    <row r="45" spans="1:6">
      <c r="D45" s="657" t="s">
        <v>5706</v>
      </c>
    </row>
    <row r="46" spans="1:6">
      <c r="A46" s="649" t="s">
        <v>10798</v>
      </c>
      <c r="D46" s="661">
        <f>D79</f>
        <v>71218</v>
      </c>
      <c r="F46" s="649" t="s">
        <v>10797</v>
      </c>
    </row>
    <row r="48" spans="1:6">
      <c r="A48" s="649" t="s">
        <v>1041</v>
      </c>
      <c r="D48" s="652">
        <f>D15+D17+D21+D27+D29+D33+D37+D42+D44+D46</f>
        <v>589855</v>
      </c>
    </row>
    <row r="49" spans="1:6">
      <c r="D49" s="655"/>
    </row>
    <row r="50" spans="1:6">
      <c r="A50" s="649" t="s">
        <v>10799</v>
      </c>
    </row>
    <row r="53" spans="1:6">
      <c r="D53" s="10" t="s">
        <v>285</v>
      </c>
      <c r="E53" s="38"/>
      <c r="F53" s="38" t="s">
        <v>4116</v>
      </c>
    </row>
    <row r="54" spans="1:6">
      <c r="D54" s="39">
        <v>2016</v>
      </c>
      <c r="E54" s="38"/>
      <c r="F54" s="41" t="s">
        <v>286</v>
      </c>
    </row>
    <row r="55" spans="1:6">
      <c r="A55" s="649" t="s">
        <v>10775</v>
      </c>
      <c r="D55" s="655">
        <f>SUM(D56:D62)+SUM(D63:D66)+SUM(D67:D68)+SUM(D69:D72)+SUM(D73:D76)</f>
        <v>147364</v>
      </c>
    </row>
    <row r="56" spans="1:6">
      <c r="A56" s="662">
        <v>1</v>
      </c>
      <c r="B56" s="649" t="s">
        <v>10800</v>
      </c>
      <c r="C56" s="1" t="s">
        <v>10801</v>
      </c>
      <c r="D56" s="13">
        <v>6413</v>
      </c>
      <c r="F56" s="649" t="s">
        <v>10796</v>
      </c>
    </row>
    <row r="57" spans="1:6">
      <c r="A57" s="662">
        <v>2</v>
      </c>
      <c r="B57" s="649" t="s">
        <v>10802</v>
      </c>
      <c r="C57" s="1" t="s">
        <v>10803</v>
      </c>
      <c r="D57" s="13">
        <v>3236</v>
      </c>
      <c r="F57" s="649" t="s">
        <v>10798</v>
      </c>
    </row>
    <row r="58" spans="1:6">
      <c r="A58" s="662">
        <v>3</v>
      </c>
      <c r="B58" s="649" t="s">
        <v>949</v>
      </c>
      <c r="C58" s="1" t="s">
        <v>10804</v>
      </c>
      <c r="D58" s="13">
        <v>6358</v>
      </c>
      <c r="F58" s="649" t="s">
        <v>10796</v>
      </c>
    </row>
    <row r="59" spans="1:6">
      <c r="A59" s="662">
        <v>4</v>
      </c>
      <c r="B59" s="649" t="s">
        <v>10805</v>
      </c>
      <c r="C59" s="1" t="s">
        <v>10806</v>
      </c>
      <c r="D59" s="13">
        <v>3378</v>
      </c>
      <c r="F59" s="649" t="s">
        <v>10798</v>
      </c>
    </row>
    <row r="60" spans="1:6">
      <c r="A60" s="662">
        <v>5</v>
      </c>
      <c r="B60" s="649" t="s">
        <v>10807</v>
      </c>
      <c r="C60" s="1" t="s">
        <v>10808</v>
      </c>
      <c r="D60" s="13">
        <v>8838</v>
      </c>
      <c r="F60" s="649" t="s">
        <v>10798</v>
      </c>
    </row>
    <row r="61" spans="1:6">
      <c r="A61" s="662">
        <v>6</v>
      </c>
      <c r="B61" s="649" t="s">
        <v>10809</v>
      </c>
      <c r="C61" s="1" t="s">
        <v>10810</v>
      </c>
      <c r="D61" s="13">
        <v>6023</v>
      </c>
      <c r="F61" s="649" t="s">
        <v>10796</v>
      </c>
    </row>
    <row r="62" spans="1:6">
      <c r="A62" s="662">
        <v>7</v>
      </c>
      <c r="B62" s="649" t="s">
        <v>10811</v>
      </c>
      <c r="C62" s="1" t="s">
        <v>10812</v>
      </c>
      <c r="D62" s="13">
        <v>2841</v>
      </c>
      <c r="F62" s="649" t="s">
        <v>10798</v>
      </c>
    </row>
    <row r="63" spans="1:6">
      <c r="A63" s="662">
        <v>8</v>
      </c>
      <c r="B63" s="649" t="s">
        <v>3293</v>
      </c>
      <c r="C63" s="1" t="s">
        <v>10813</v>
      </c>
      <c r="D63" s="13">
        <v>8966</v>
      </c>
      <c r="F63" s="649" t="s">
        <v>10796</v>
      </c>
    </row>
    <row r="64" spans="1:6">
      <c r="A64" s="662">
        <v>9</v>
      </c>
      <c r="B64" s="649" t="s">
        <v>10814</v>
      </c>
      <c r="C64" s="1" t="s">
        <v>10815</v>
      </c>
      <c r="D64" s="13">
        <v>9718</v>
      </c>
      <c r="F64" s="649" t="s">
        <v>10798</v>
      </c>
    </row>
    <row r="65" spans="1:6">
      <c r="A65" s="662">
        <v>10</v>
      </c>
      <c r="B65" s="649" t="s">
        <v>10816</v>
      </c>
      <c r="C65" s="1" t="s">
        <v>10817</v>
      </c>
      <c r="D65" s="13">
        <v>9171</v>
      </c>
      <c r="F65" s="649" t="s">
        <v>10796</v>
      </c>
    </row>
    <row r="66" spans="1:6">
      <c r="A66" s="662">
        <v>11</v>
      </c>
      <c r="B66" s="649" t="s">
        <v>10818</v>
      </c>
      <c r="C66" s="1" t="s">
        <v>10819</v>
      </c>
      <c r="D66" s="13">
        <v>3357</v>
      </c>
      <c r="F66" s="649" t="s">
        <v>10798</v>
      </c>
    </row>
    <row r="67" spans="1:6">
      <c r="A67" s="662">
        <v>12</v>
      </c>
      <c r="B67" s="649" t="s">
        <v>10820</v>
      </c>
      <c r="C67" s="1" t="s">
        <v>10821</v>
      </c>
      <c r="D67" s="13">
        <v>9145</v>
      </c>
      <c r="F67" s="649" t="s">
        <v>10796</v>
      </c>
    </row>
    <row r="68" spans="1:6">
      <c r="A68" s="662">
        <v>13</v>
      </c>
      <c r="B68" s="649" t="s">
        <v>10822</v>
      </c>
      <c r="C68" s="1" t="s">
        <v>10823</v>
      </c>
      <c r="D68" s="13">
        <v>11697</v>
      </c>
      <c r="F68" s="649" t="s">
        <v>10796</v>
      </c>
    </row>
    <row r="69" spans="1:6">
      <c r="A69" s="662">
        <v>14</v>
      </c>
      <c r="B69" s="649" t="s">
        <v>10824</v>
      </c>
      <c r="C69" s="1" t="s">
        <v>10825</v>
      </c>
      <c r="D69" s="13">
        <v>9663</v>
      </c>
      <c r="F69" s="649" t="s">
        <v>10798</v>
      </c>
    </row>
    <row r="70" spans="1:6">
      <c r="A70" s="662">
        <v>15</v>
      </c>
      <c r="B70" s="649" t="s">
        <v>10826</v>
      </c>
      <c r="C70" s="1" t="s">
        <v>10827</v>
      </c>
      <c r="D70" s="13">
        <v>8867</v>
      </c>
      <c r="F70" s="649" t="s">
        <v>10796</v>
      </c>
    </row>
    <row r="71" spans="1:6">
      <c r="A71" s="662">
        <v>16</v>
      </c>
      <c r="B71" s="649" t="s">
        <v>10828</v>
      </c>
      <c r="C71" s="1" t="s">
        <v>10829</v>
      </c>
      <c r="D71" s="13">
        <v>5742</v>
      </c>
      <c r="F71" s="649" t="s">
        <v>10798</v>
      </c>
    </row>
    <row r="72" spans="1:6">
      <c r="A72" s="662">
        <v>17</v>
      </c>
      <c r="B72" s="649" t="s">
        <v>10830</v>
      </c>
      <c r="C72" s="1" t="s">
        <v>10831</v>
      </c>
      <c r="D72" s="13">
        <v>8926</v>
      </c>
      <c r="F72" s="649" t="s">
        <v>10798</v>
      </c>
    </row>
    <row r="73" spans="1:6">
      <c r="A73" s="662">
        <v>18</v>
      </c>
      <c r="B73" s="649" t="s">
        <v>10832</v>
      </c>
      <c r="C73" s="1" t="s">
        <v>10833</v>
      </c>
      <c r="D73" s="13">
        <v>6106</v>
      </c>
      <c r="F73" s="649" t="s">
        <v>10798</v>
      </c>
    </row>
    <row r="74" spans="1:6">
      <c r="A74" s="663">
        <v>19</v>
      </c>
      <c r="B74" s="649" t="s">
        <v>10834</v>
      </c>
      <c r="C74" s="1" t="s">
        <v>10835</v>
      </c>
      <c r="D74" s="13">
        <v>6198</v>
      </c>
      <c r="F74" s="649" t="s">
        <v>10798</v>
      </c>
    </row>
    <row r="75" spans="1:6">
      <c r="A75" s="663">
        <v>20</v>
      </c>
      <c r="B75" s="649" t="s">
        <v>167</v>
      </c>
      <c r="C75" s="1" t="s">
        <v>10836</v>
      </c>
      <c r="D75" s="13">
        <v>9506</v>
      </c>
      <c r="F75" s="649" t="s">
        <v>10796</v>
      </c>
    </row>
    <row r="76" spans="1:6">
      <c r="A76" s="662">
        <v>21</v>
      </c>
      <c r="B76" s="649" t="s">
        <v>10837</v>
      </c>
      <c r="C76" s="1" t="s">
        <v>10838</v>
      </c>
      <c r="D76" s="13">
        <v>3215</v>
      </c>
      <c r="F76" s="649" t="s">
        <v>10798</v>
      </c>
    </row>
    <row r="77" spans="1:6">
      <c r="A77" s="662"/>
      <c r="B77" s="649"/>
      <c r="C77" s="1"/>
      <c r="D77" s="13"/>
      <c r="F77" s="649"/>
    </row>
    <row r="78" spans="1:6">
      <c r="A78" s="649" t="s">
        <v>10796</v>
      </c>
      <c r="B78" s="649"/>
      <c r="C78" s="1"/>
      <c r="D78" s="13">
        <f>D56+D58+D61+D63+D65+D67+D68+D70+D75</f>
        <v>76146</v>
      </c>
      <c r="F78" s="649"/>
    </row>
    <row r="79" spans="1:6">
      <c r="A79" s="649" t="s">
        <v>10798</v>
      </c>
      <c r="B79" s="649"/>
      <c r="C79" s="1"/>
      <c r="D79" s="13">
        <f>D57+D59+D60+D62+D64+D66+D69+SUM(D71:D74)+D76</f>
        <v>71218</v>
      </c>
      <c r="F79" s="649"/>
    </row>
    <row r="80" spans="1:6">
      <c r="D80" s="655"/>
    </row>
    <row r="81" spans="1:9">
      <c r="A81" s="649" t="s">
        <v>10839</v>
      </c>
    </row>
    <row r="84" spans="1:9">
      <c r="D84" s="10" t="s">
        <v>285</v>
      </c>
      <c r="E84" s="38"/>
      <c r="F84" s="38" t="s">
        <v>4116</v>
      </c>
    </row>
    <row r="85" spans="1:9">
      <c r="D85" s="39">
        <v>2016</v>
      </c>
      <c r="E85" s="38"/>
      <c r="F85" s="41" t="s">
        <v>286</v>
      </c>
    </row>
    <row r="86" spans="1:9">
      <c r="A86" s="649" t="s">
        <v>10840</v>
      </c>
      <c r="C86" s="649"/>
      <c r="D86" s="652">
        <f t="shared" ref="D86" si="25">SUM(D87:D105)</f>
        <v>42127</v>
      </c>
    </row>
    <row r="87" spans="1:9">
      <c r="A87" s="649" t="s">
        <v>812</v>
      </c>
      <c r="B87" s="649" t="s">
        <v>10841</v>
      </c>
      <c r="C87" s="1" t="s">
        <v>10842</v>
      </c>
      <c r="D87" s="7">
        <v>2824</v>
      </c>
      <c r="F87" s="649" t="s">
        <v>10794</v>
      </c>
      <c r="G87" s="1"/>
      <c r="I87" s="1"/>
    </row>
    <row r="88" spans="1:9">
      <c r="A88" s="649" t="s">
        <v>813</v>
      </c>
      <c r="B88" s="649" t="s">
        <v>10843</v>
      </c>
      <c r="C88" s="1" t="s">
        <v>10844</v>
      </c>
      <c r="D88" s="7">
        <v>1247</v>
      </c>
      <c r="F88" s="649" t="s">
        <v>10794</v>
      </c>
      <c r="G88" s="1"/>
      <c r="I88" s="1"/>
    </row>
    <row r="89" spans="1:9">
      <c r="A89" s="649" t="s">
        <v>814</v>
      </c>
      <c r="B89" s="649" t="s">
        <v>10845</v>
      </c>
      <c r="C89" s="1" t="s">
        <v>10846</v>
      </c>
      <c r="D89" s="7">
        <v>2795</v>
      </c>
      <c r="F89" s="649" t="s">
        <v>10794</v>
      </c>
      <c r="G89" s="1"/>
      <c r="I89" s="1"/>
    </row>
    <row r="90" spans="1:9">
      <c r="A90" s="649" t="s">
        <v>815</v>
      </c>
      <c r="B90" s="649" t="s">
        <v>10847</v>
      </c>
      <c r="C90" s="1" t="s">
        <v>10848</v>
      </c>
      <c r="D90" s="7">
        <v>1707</v>
      </c>
      <c r="F90" s="649" t="s">
        <v>10794</v>
      </c>
      <c r="G90" s="1"/>
      <c r="I90" s="1"/>
    </row>
    <row r="91" spans="1:9">
      <c r="A91" s="649" t="s">
        <v>816</v>
      </c>
      <c r="B91" s="649" t="s">
        <v>10849</v>
      </c>
      <c r="C91" s="1" t="s">
        <v>10850</v>
      </c>
      <c r="D91" s="7">
        <v>1479</v>
      </c>
      <c r="F91" s="649" t="s">
        <v>10794</v>
      </c>
      <c r="G91" s="1"/>
      <c r="I91" s="1"/>
    </row>
    <row r="92" spans="1:9">
      <c r="A92" s="649" t="s">
        <v>826</v>
      </c>
      <c r="B92" s="649" t="s">
        <v>10851</v>
      </c>
      <c r="C92" s="1" t="s">
        <v>10852</v>
      </c>
      <c r="D92" s="7">
        <v>2462</v>
      </c>
      <c r="F92" s="649" t="s">
        <v>10794</v>
      </c>
      <c r="G92" s="1"/>
      <c r="I92" s="1"/>
    </row>
    <row r="93" spans="1:9">
      <c r="A93" s="649" t="s">
        <v>827</v>
      </c>
      <c r="B93" s="649" t="s">
        <v>10853</v>
      </c>
      <c r="C93" s="1" t="s">
        <v>10854</v>
      </c>
      <c r="D93" s="7">
        <v>2944</v>
      </c>
      <c r="F93" s="649" t="s">
        <v>10794</v>
      </c>
      <c r="G93" s="1"/>
      <c r="I93" s="1"/>
    </row>
    <row r="94" spans="1:9">
      <c r="A94" s="649" t="s">
        <v>828</v>
      </c>
      <c r="B94" s="649" t="s">
        <v>10855</v>
      </c>
      <c r="C94" s="1" t="s">
        <v>10856</v>
      </c>
      <c r="D94" s="7">
        <v>1201</v>
      </c>
      <c r="F94" s="649" t="s">
        <v>10794</v>
      </c>
      <c r="G94" s="1"/>
      <c r="I94" s="1"/>
    </row>
    <row r="95" spans="1:9">
      <c r="A95" s="649" t="s">
        <v>829</v>
      </c>
      <c r="B95" s="649" t="s">
        <v>10857</v>
      </c>
      <c r="C95" s="1" t="s">
        <v>10858</v>
      </c>
      <c r="D95" s="7">
        <v>1709</v>
      </c>
      <c r="F95" s="649" t="s">
        <v>10794</v>
      </c>
      <c r="G95" s="1"/>
      <c r="I95" s="1"/>
    </row>
    <row r="96" spans="1:9">
      <c r="A96" s="649" t="s">
        <v>830</v>
      </c>
      <c r="B96" s="649" t="s">
        <v>10859</v>
      </c>
      <c r="C96" s="1" t="s">
        <v>10860</v>
      </c>
      <c r="D96" s="7">
        <v>3019</v>
      </c>
      <c r="F96" s="649" t="s">
        <v>10794</v>
      </c>
      <c r="G96" s="1"/>
      <c r="I96" s="1"/>
    </row>
    <row r="97" spans="1:9">
      <c r="A97" s="649" t="s">
        <v>831</v>
      </c>
      <c r="B97" s="649" t="s">
        <v>10861</v>
      </c>
      <c r="C97" s="1" t="s">
        <v>10862</v>
      </c>
      <c r="D97" s="7">
        <v>1391</v>
      </c>
      <c r="F97" s="649" t="s">
        <v>10794</v>
      </c>
      <c r="G97" s="1"/>
      <c r="I97" s="1"/>
    </row>
    <row r="98" spans="1:9">
      <c r="A98" s="649" t="s">
        <v>832</v>
      </c>
      <c r="B98" s="649" t="s">
        <v>10863</v>
      </c>
      <c r="C98" s="1" t="s">
        <v>10864</v>
      </c>
      <c r="D98" s="7">
        <v>2920</v>
      </c>
      <c r="F98" s="649" t="s">
        <v>10794</v>
      </c>
      <c r="G98" s="1"/>
      <c r="I98" s="1"/>
    </row>
    <row r="99" spans="1:9">
      <c r="A99" s="649" t="s">
        <v>833</v>
      </c>
      <c r="B99" s="649" t="s">
        <v>10865</v>
      </c>
      <c r="C99" s="1" t="s">
        <v>10866</v>
      </c>
      <c r="D99" s="7">
        <v>2665</v>
      </c>
      <c r="F99" s="649" t="s">
        <v>10794</v>
      </c>
      <c r="G99" s="1"/>
      <c r="I99" s="1"/>
    </row>
    <row r="100" spans="1:9">
      <c r="A100" s="649" t="s">
        <v>834</v>
      </c>
      <c r="B100" s="649" t="s">
        <v>10867</v>
      </c>
      <c r="C100" s="1" t="s">
        <v>10868</v>
      </c>
      <c r="D100" s="7">
        <v>2731</v>
      </c>
      <c r="F100" s="649" t="s">
        <v>10794</v>
      </c>
      <c r="G100" s="1"/>
      <c r="I100" s="1"/>
    </row>
    <row r="101" spans="1:9">
      <c r="A101" s="649" t="s">
        <v>835</v>
      </c>
      <c r="B101" s="649" t="s">
        <v>10869</v>
      </c>
      <c r="C101" s="1" t="s">
        <v>10870</v>
      </c>
      <c r="D101" s="7">
        <v>2505</v>
      </c>
      <c r="F101" s="649" t="s">
        <v>10794</v>
      </c>
      <c r="G101" s="1"/>
      <c r="I101" s="1"/>
    </row>
    <row r="102" spans="1:9">
      <c r="A102" s="649" t="s">
        <v>836</v>
      </c>
      <c r="B102" s="649" t="s">
        <v>10871</v>
      </c>
      <c r="C102" s="1" t="s">
        <v>10872</v>
      </c>
      <c r="D102" s="8">
        <v>2724</v>
      </c>
      <c r="F102" s="649" t="s">
        <v>10794</v>
      </c>
      <c r="G102" s="1"/>
      <c r="I102" s="1"/>
    </row>
    <row r="103" spans="1:9">
      <c r="A103" s="649" t="s">
        <v>837</v>
      </c>
      <c r="B103" s="649" t="s">
        <v>10873</v>
      </c>
      <c r="C103" s="1" t="s">
        <v>10874</v>
      </c>
      <c r="D103" s="8">
        <v>2763</v>
      </c>
      <c r="F103" s="649" t="s">
        <v>10794</v>
      </c>
      <c r="G103" s="1"/>
      <c r="I103" s="1"/>
    </row>
    <row r="104" spans="1:9">
      <c r="A104" s="649" t="s">
        <v>838</v>
      </c>
      <c r="B104" s="649" t="s">
        <v>10875</v>
      </c>
      <c r="C104" s="1" t="s">
        <v>10876</v>
      </c>
      <c r="D104" s="8">
        <v>1506</v>
      </c>
      <c r="F104" s="649" t="s">
        <v>10794</v>
      </c>
      <c r="G104" s="1"/>
      <c r="I104" s="1"/>
    </row>
    <row r="105" spans="1:9">
      <c r="A105" s="649" t="s">
        <v>840</v>
      </c>
      <c r="B105" s="649" t="s">
        <v>10877</v>
      </c>
      <c r="C105" s="1" t="s">
        <v>10878</v>
      </c>
      <c r="D105" s="8">
        <v>1535</v>
      </c>
      <c r="F105" s="649" t="s">
        <v>10794</v>
      </c>
      <c r="G105" s="1"/>
      <c r="I105" s="1"/>
    </row>
    <row r="106" spans="1:9">
      <c r="D106" s="655"/>
    </row>
    <row r="107" spans="1:9">
      <c r="A107" s="649" t="s">
        <v>10879</v>
      </c>
      <c r="D107" s="652">
        <f t="shared" ref="D107" si="26">SUM(D87:D105)</f>
        <v>42127</v>
      </c>
    </row>
    <row r="108" spans="1:9">
      <c r="A108" s="649"/>
      <c r="D108" s="652"/>
    </row>
    <row r="109" spans="1:9">
      <c r="A109" s="649" t="s">
        <v>10880</v>
      </c>
      <c r="D109" s="652"/>
    </row>
    <row r="110" spans="1:9">
      <c r="A110" s="649" t="s">
        <v>10881</v>
      </c>
      <c r="D110" s="652"/>
    </row>
    <row r="111" spans="1:9">
      <c r="A111" s="649"/>
      <c r="B111" s="649"/>
      <c r="D111" s="664"/>
    </row>
    <row r="112" spans="1:9">
      <c r="A112" s="649"/>
      <c r="B112" s="649"/>
      <c r="D112" s="664"/>
    </row>
    <row r="113" spans="1:9">
      <c r="D113" s="10" t="s">
        <v>285</v>
      </c>
      <c r="E113" s="38"/>
      <c r="F113" s="38" t="s">
        <v>4116</v>
      </c>
    </row>
    <row r="114" spans="1:9">
      <c r="D114" s="39">
        <v>2016</v>
      </c>
      <c r="E114" s="38"/>
      <c r="F114" s="41" t="s">
        <v>286</v>
      </c>
    </row>
    <row r="115" spans="1:9">
      <c r="A115" s="649" t="s">
        <v>10882</v>
      </c>
      <c r="D115" s="652">
        <f>SUM(D116:D132)</f>
        <v>67293</v>
      </c>
    </row>
    <row r="116" spans="1:9">
      <c r="A116" s="649" t="s">
        <v>812</v>
      </c>
      <c r="B116" s="650" t="s">
        <v>10883</v>
      </c>
      <c r="C116" s="1" t="s">
        <v>10884</v>
      </c>
      <c r="D116" s="7">
        <v>2414</v>
      </c>
      <c r="F116" s="649" t="s">
        <v>10789</v>
      </c>
      <c r="G116" s="19"/>
      <c r="I116" s="1"/>
    </row>
    <row r="117" spans="1:9">
      <c r="A117" s="649" t="s">
        <v>813</v>
      </c>
      <c r="B117" s="650" t="s">
        <v>10885</v>
      </c>
      <c r="C117" s="1" t="s">
        <v>10886</v>
      </c>
      <c r="D117" s="7">
        <v>2696</v>
      </c>
      <c r="F117" s="649" t="s">
        <v>10795</v>
      </c>
      <c r="G117" s="19"/>
      <c r="I117" s="1"/>
    </row>
    <row r="118" spans="1:9">
      <c r="A118" s="649" t="s">
        <v>814</v>
      </c>
      <c r="B118" s="650" t="s">
        <v>10887</v>
      </c>
      <c r="C118" s="1" t="s">
        <v>10888</v>
      </c>
      <c r="D118" s="7">
        <v>6755</v>
      </c>
      <c r="F118" s="649" t="s">
        <v>10789</v>
      </c>
      <c r="G118" s="19"/>
      <c r="I118" s="1"/>
    </row>
    <row r="119" spans="1:9">
      <c r="A119" s="649" t="s">
        <v>815</v>
      </c>
      <c r="B119" s="649" t="s">
        <v>10889</v>
      </c>
      <c r="C119" s="1" t="s">
        <v>10890</v>
      </c>
      <c r="D119" s="7">
        <v>7423</v>
      </c>
      <c r="F119" s="649" t="s">
        <v>10795</v>
      </c>
      <c r="G119" s="19"/>
      <c r="I119" s="1"/>
    </row>
    <row r="120" spans="1:9">
      <c r="A120" s="649" t="s">
        <v>816</v>
      </c>
      <c r="B120" s="649" t="s">
        <v>10891</v>
      </c>
      <c r="C120" s="1" t="s">
        <v>10892</v>
      </c>
      <c r="D120" s="7">
        <v>4520</v>
      </c>
      <c r="F120" s="649" t="s">
        <v>10795</v>
      </c>
      <c r="G120" s="19"/>
      <c r="I120" s="1"/>
    </row>
    <row r="121" spans="1:9">
      <c r="A121" s="649" t="s">
        <v>826</v>
      </c>
      <c r="B121" s="649" t="s">
        <v>10893</v>
      </c>
      <c r="C121" s="1" t="s">
        <v>10894</v>
      </c>
      <c r="D121" s="7">
        <v>2726</v>
      </c>
      <c r="F121" s="649" t="s">
        <v>10795</v>
      </c>
      <c r="G121" s="20"/>
      <c r="I121" s="1"/>
    </row>
    <row r="122" spans="1:9">
      <c r="A122" s="649" t="s">
        <v>827</v>
      </c>
      <c r="B122" s="649" t="s">
        <v>10895</v>
      </c>
      <c r="C122" s="1" t="s">
        <v>10896</v>
      </c>
      <c r="D122" s="7">
        <v>2505</v>
      </c>
      <c r="F122" s="649" t="s">
        <v>10789</v>
      </c>
      <c r="G122" s="19"/>
      <c r="I122" s="1"/>
    </row>
    <row r="123" spans="1:9">
      <c r="A123" s="649" t="s">
        <v>828</v>
      </c>
      <c r="B123" s="649" t="s">
        <v>10897</v>
      </c>
      <c r="C123" s="1" t="s">
        <v>10898</v>
      </c>
      <c r="D123" s="7">
        <v>2687</v>
      </c>
      <c r="F123" s="649" t="s">
        <v>10789</v>
      </c>
      <c r="G123" s="20"/>
      <c r="I123" s="1"/>
    </row>
    <row r="124" spans="1:9">
      <c r="A124" s="649" t="s">
        <v>829</v>
      </c>
      <c r="B124" s="649" t="s">
        <v>10899</v>
      </c>
      <c r="C124" s="1" t="s">
        <v>10900</v>
      </c>
      <c r="D124" s="7">
        <v>4185</v>
      </c>
      <c r="F124" s="649" t="s">
        <v>10789</v>
      </c>
      <c r="G124" s="20"/>
      <c r="I124" s="1"/>
    </row>
    <row r="125" spans="1:9">
      <c r="A125" s="649" t="s">
        <v>830</v>
      </c>
      <c r="B125" s="649" t="s">
        <v>10901</v>
      </c>
      <c r="C125" s="1" t="s">
        <v>10902</v>
      </c>
      <c r="D125" s="7">
        <v>4851</v>
      </c>
      <c r="F125" s="649" t="s">
        <v>10789</v>
      </c>
      <c r="G125" s="19"/>
      <c r="I125" s="1"/>
    </row>
    <row r="126" spans="1:9">
      <c r="A126" s="649" t="s">
        <v>831</v>
      </c>
      <c r="B126" s="649" t="s">
        <v>10903</v>
      </c>
      <c r="C126" s="1" t="s">
        <v>10904</v>
      </c>
      <c r="D126" s="7">
        <v>2393</v>
      </c>
      <c r="F126" s="649" t="s">
        <v>10789</v>
      </c>
      <c r="G126" s="19"/>
      <c r="I126" s="1"/>
    </row>
    <row r="127" spans="1:9">
      <c r="A127" s="649" t="s">
        <v>832</v>
      </c>
      <c r="B127" s="649" t="s">
        <v>10905</v>
      </c>
      <c r="C127" s="1" t="s">
        <v>10906</v>
      </c>
      <c r="D127" s="8">
        <v>2571</v>
      </c>
      <c r="F127" s="649" t="s">
        <v>10795</v>
      </c>
      <c r="G127" s="19"/>
      <c r="I127" s="1"/>
    </row>
    <row r="128" spans="1:9">
      <c r="A128" s="649" t="s">
        <v>833</v>
      </c>
      <c r="B128" s="649" t="s">
        <v>10907</v>
      </c>
      <c r="C128" s="1" t="s">
        <v>10908</v>
      </c>
      <c r="D128" s="7">
        <v>4931</v>
      </c>
      <c r="F128" s="649" t="s">
        <v>10789</v>
      </c>
      <c r="G128" s="19"/>
      <c r="I128" s="1"/>
    </row>
    <row r="129" spans="1:9">
      <c r="A129" s="649" t="s">
        <v>834</v>
      </c>
      <c r="B129" s="649" t="s">
        <v>10909</v>
      </c>
      <c r="C129" s="1" t="s">
        <v>10910</v>
      </c>
      <c r="D129" s="8">
        <v>4675</v>
      </c>
      <c r="F129" s="649" t="s">
        <v>10795</v>
      </c>
      <c r="G129" s="19"/>
      <c r="I129" s="1"/>
    </row>
    <row r="130" spans="1:9">
      <c r="A130" s="649" t="s">
        <v>835</v>
      </c>
      <c r="B130" s="649" t="s">
        <v>10911</v>
      </c>
      <c r="C130" s="1" t="s">
        <v>10912</v>
      </c>
      <c r="D130" s="7">
        <v>4707</v>
      </c>
      <c r="F130" s="649" t="s">
        <v>10789</v>
      </c>
      <c r="G130" s="19"/>
      <c r="I130" s="1"/>
    </row>
    <row r="131" spans="1:9">
      <c r="A131" s="649" t="s">
        <v>836</v>
      </c>
      <c r="B131" s="649" t="s">
        <v>6358</v>
      </c>
      <c r="C131" s="1" t="s">
        <v>10913</v>
      </c>
      <c r="D131" s="7">
        <v>2335</v>
      </c>
      <c r="F131" s="649" t="s">
        <v>10789</v>
      </c>
      <c r="G131" s="19"/>
      <c r="I131" s="1"/>
    </row>
    <row r="132" spans="1:9">
      <c r="A132" s="649" t="s">
        <v>837</v>
      </c>
      <c r="B132" s="649" t="s">
        <v>10914</v>
      </c>
      <c r="C132" s="1" t="s">
        <v>10915</v>
      </c>
      <c r="D132" s="8">
        <v>4919</v>
      </c>
      <c r="F132" s="649" t="s">
        <v>10795</v>
      </c>
      <c r="G132" s="19"/>
      <c r="I132" s="1"/>
    </row>
    <row r="133" spans="1:9">
      <c r="D133" s="655"/>
    </row>
    <row r="134" spans="1:9">
      <c r="A134" s="649" t="s">
        <v>10916</v>
      </c>
      <c r="D134" s="652">
        <f>D116+D118+SUM(D122:D126)+D128+D130+D131</f>
        <v>37763</v>
      </c>
    </row>
    <row r="135" spans="1:9">
      <c r="A135" s="649" t="s">
        <v>10917</v>
      </c>
      <c r="D135" s="652">
        <f>D117+SUM(D119:D121)+D127+D129+D132</f>
        <v>29530</v>
      </c>
    </row>
    <row r="136" spans="1:9">
      <c r="A136" s="649"/>
      <c r="D136" s="652"/>
    </row>
    <row r="137" spans="1:9">
      <c r="A137" s="649" t="s">
        <v>10918</v>
      </c>
      <c r="D137" s="652"/>
    </row>
    <row r="138" spans="1:9">
      <c r="A138" s="649"/>
      <c r="B138" s="649"/>
      <c r="D138" s="664"/>
    </row>
    <row r="139" spans="1:9">
      <c r="A139" s="649"/>
      <c r="B139" s="649"/>
      <c r="D139" s="664"/>
    </row>
    <row r="140" spans="1:9">
      <c r="D140" s="10" t="s">
        <v>285</v>
      </c>
      <c r="E140" s="38"/>
      <c r="F140" s="38" t="s">
        <v>4116</v>
      </c>
    </row>
    <row r="141" spans="1:9">
      <c r="D141" s="39">
        <v>2016</v>
      </c>
      <c r="E141" s="38"/>
      <c r="F141" s="41" t="s">
        <v>286</v>
      </c>
    </row>
    <row r="142" spans="1:9">
      <c r="A142" s="649" t="s">
        <v>10778</v>
      </c>
      <c r="D142" s="652">
        <f t="shared" ref="D142" si="27">SUM(D143:D177)</f>
        <v>115996</v>
      </c>
    </row>
    <row r="143" spans="1:9">
      <c r="A143" s="649" t="s">
        <v>812</v>
      </c>
      <c r="B143" s="649" t="s">
        <v>3239</v>
      </c>
      <c r="C143" s="1" t="s">
        <v>10919</v>
      </c>
      <c r="D143" s="7">
        <v>4219</v>
      </c>
      <c r="F143" s="649" t="s">
        <v>10783</v>
      </c>
      <c r="G143" s="19"/>
      <c r="I143" s="1"/>
    </row>
    <row r="144" spans="1:9">
      <c r="A144" s="649" t="s">
        <v>813</v>
      </c>
      <c r="B144" s="649" t="s">
        <v>10920</v>
      </c>
      <c r="C144" s="1" t="s">
        <v>10921</v>
      </c>
      <c r="D144" s="8">
        <v>2220</v>
      </c>
      <c r="F144" s="649" t="s">
        <v>10794</v>
      </c>
      <c r="G144" s="20"/>
      <c r="I144" s="1"/>
    </row>
    <row r="145" spans="1:9">
      <c r="A145" s="649" t="s">
        <v>814</v>
      </c>
      <c r="B145" s="649" t="s">
        <v>10922</v>
      </c>
      <c r="C145" s="1" t="s">
        <v>10923</v>
      </c>
      <c r="D145" s="7">
        <v>2366</v>
      </c>
      <c r="F145" s="649" t="s">
        <v>10793</v>
      </c>
      <c r="G145" s="19"/>
      <c r="I145" s="1"/>
    </row>
    <row r="146" spans="1:9">
      <c r="A146" s="649" t="s">
        <v>815</v>
      </c>
      <c r="B146" s="649" t="s">
        <v>10924</v>
      </c>
      <c r="C146" s="1" t="s">
        <v>10925</v>
      </c>
      <c r="D146" s="7">
        <v>2602</v>
      </c>
      <c r="F146" s="649" t="s">
        <v>10793</v>
      </c>
      <c r="G146" s="19"/>
      <c r="I146" s="1"/>
    </row>
    <row r="147" spans="1:9">
      <c r="A147" s="649" t="s">
        <v>816</v>
      </c>
      <c r="B147" s="650" t="s">
        <v>10926</v>
      </c>
      <c r="C147" s="1" t="s">
        <v>10927</v>
      </c>
      <c r="D147" s="7">
        <v>4419</v>
      </c>
      <c r="F147" s="649" t="s">
        <v>10783</v>
      </c>
      <c r="G147" s="19"/>
      <c r="I147" s="1"/>
    </row>
    <row r="148" spans="1:9">
      <c r="A148" s="649" t="s">
        <v>826</v>
      </c>
      <c r="B148" s="649" t="s">
        <v>10928</v>
      </c>
      <c r="C148" s="1" t="s">
        <v>10929</v>
      </c>
      <c r="D148" s="7">
        <v>3991</v>
      </c>
      <c r="F148" s="649" t="s">
        <v>10783</v>
      </c>
      <c r="G148" s="19"/>
      <c r="I148" s="1"/>
    </row>
    <row r="149" spans="1:9">
      <c r="A149" s="649" t="s">
        <v>827</v>
      </c>
      <c r="B149" s="649" t="s">
        <v>10930</v>
      </c>
      <c r="C149" s="1" t="s">
        <v>10931</v>
      </c>
      <c r="D149" s="7">
        <v>4241</v>
      </c>
      <c r="F149" s="649" t="s">
        <v>10783</v>
      </c>
      <c r="G149" s="19"/>
      <c r="I149" s="1"/>
    </row>
    <row r="150" spans="1:9">
      <c r="A150" s="649" t="s">
        <v>828</v>
      </c>
      <c r="B150" s="649" t="s">
        <v>10932</v>
      </c>
      <c r="C150" s="1" t="s">
        <v>10933</v>
      </c>
      <c r="D150" s="7">
        <v>4407</v>
      </c>
      <c r="F150" s="649" t="s">
        <v>10783</v>
      </c>
      <c r="G150" s="19"/>
      <c r="I150" s="1"/>
    </row>
    <row r="151" spans="1:9">
      <c r="A151" s="649" t="s">
        <v>829</v>
      </c>
      <c r="B151" s="649" t="s">
        <v>10934</v>
      </c>
      <c r="C151" s="1" t="s">
        <v>10935</v>
      </c>
      <c r="D151" s="7">
        <v>2315</v>
      </c>
      <c r="F151" s="649" t="s">
        <v>10783</v>
      </c>
      <c r="G151" s="19"/>
      <c r="I151" s="1"/>
    </row>
    <row r="152" spans="1:9">
      <c r="A152" s="649" t="s">
        <v>830</v>
      </c>
      <c r="B152" s="649" t="s">
        <v>10936</v>
      </c>
      <c r="C152" s="1" t="s">
        <v>10937</v>
      </c>
      <c r="D152" s="8">
        <v>2465</v>
      </c>
      <c r="F152" s="649" t="s">
        <v>10794</v>
      </c>
      <c r="G152" s="20"/>
      <c r="I152" s="1"/>
    </row>
    <row r="153" spans="1:9">
      <c r="A153" s="649" t="s">
        <v>831</v>
      </c>
      <c r="B153" s="649" t="s">
        <v>10938</v>
      </c>
      <c r="C153" s="1" t="s">
        <v>10939</v>
      </c>
      <c r="D153" s="7">
        <v>3889</v>
      </c>
      <c r="F153" s="649" t="s">
        <v>10783</v>
      </c>
      <c r="G153" s="19"/>
      <c r="I153" s="1"/>
    </row>
    <row r="154" spans="1:9">
      <c r="A154" s="649" t="s">
        <v>832</v>
      </c>
      <c r="B154" s="649" t="s">
        <v>10940</v>
      </c>
      <c r="C154" s="1" t="s">
        <v>10941</v>
      </c>
      <c r="D154" s="7">
        <v>4044</v>
      </c>
      <c r="F154" s="649" t="s">
        <v>10783</v>
      </c>
      <c r="G154" s="19"/>
      <c r="I154" s="1"/>
    </row>
    <row r="155" spans="1:9">
      <c r="A155" s="649" t="s">
        <v>833</v>
      </c>
      <c r="B155" s="649" t="s">
        <v>10942</v>
      </c>
      <c r="C155" s="1" t="s">
        <v>10943</v>
      </c>
      <c r="D155" s="7">
        <v>4082</v>
      </c>
      <c r="F155" s="649" t="s">
        <v>10783</v>
      </c>
      <c r="G155" s="19"/>
      <c r="I155" s="1"/>
    </row>
    <row r="156" spans="1:9">
      <c r="A156" s="649" t="s">
        <v>834</v>
      </c>
      <c r="B156" s="649" t="s">
        <v>10944</v>
      </c>
      <c r="C156" s="1" t="s">
        <v>10945</v>
      </c>
      <c r="D156" s="7">
        <v>4011</v>
      </c>
      <c r="F156" s="649" t="s">
        <v>10783</v>
      </c>
      <c r="G156" s="19"/>
      <c r="I156" s="1"/>
    </row>
    <row r="157" spans="1:9">
      <c r="A157" s="649" t="s">
        <v>835</v>
      </c>
      <c r="B157" s="649" t="s">
        <v>10946</v>
      </c>
      <c r="C157" s="1" t="s">
        <v>10947</v>
      </c>
      <c r="D157" s="8">
        <v>2451</v>
      </c>
      <c r="F157" s="649" t="s">
        <v>10794</v>
      </c>
      <c r="G157" s="20"/>
      <c r="I157" s="1"/>
    </row>
    <row r="158" spans="1:9">
      <c r="A158" s="649" t="s">
        <v>836</v>
      </c>
      <c r="B158" s="649" t="s">
        <v>10948</v>
      </c>
      <c r="C158" s="1" t="s">
        <v>10949</v>
      </c>
      <c r="D158" s="8">
        <v>2251</v>
      </c>
      <c r="F158" s="649" t="s">
        <v>10793</v>
      </c>
      <c r="G158" s="20"/>
      <c r="I158" s="1"/>
    </row>
    <row r="159" spans="1:9">
      <c r="A159" s="649" t="s">
        <v>837</v>
      </c>
      <c r="B159" s="649" t="s">
        <v>10950</v>
      </c>
      <c r="C159" s="1" t="s">
        <v>10951</v>
      </c>
      <c r="D159" s="8">
        <v>1837</v>
      </c>
      <c r="F159" s="649" t="s">
        <v>10794</v>
      </c>
      <c r="G159" s="20"/>
      <c r="I159" s="1"/>
    </row>
    <row r="160" spans="1:9">
      <c r="A160" s="649" t="s">
        <v>838</v>
      </c>
      <c r="B160" s="649" t="s">
        <v>10952</v>
      </c>
      <c r="C160" s="1" t="s">
        <v>10953</v>
      </c>
      <c r="D160" s="8">
        <v>2441</v>
      </c>
      <c r="F160" s="649" t="s">
        <v>10794</v>
      </c>
      <c r="I160" s="1"/>
    </row>
    <row r="161" spans="1:9">
      <c r="A161" s="649" t="s">
        <v>840</v>
      </c>
      <c r="B161" s="649" t="s">
        <v>10954</v>
      </c>
      <c r="C161" s="1" t="s">
        <v>10955</v>
      </c>
      <c r="D161" s="7">
        <v>3954</v>
      </c>
      <c r="F161" s="649" t="s">
        <v>10783</v>
      </c>
      <c r="G161" s="19"/>
      <c r="I161" s="1"/>
    </row>
    <row r="162" spans="1:9">
      <c r="A162" s="649" t="s">
        <v>841</v>
      </c>
      <c r="B162" s="649" t="s">
        <v>10956</v>
      </c>
      <c r="C162" s="1" t="s">
        <v>10957</v>
      </c>
      <c r="D162" s="8">
        <v>2172</v>
      </c>
      <c r="F162" s="649" t="s">
        <v>10794</v>
      </c>
      <c r="G162" s="20"/>
      <c r="I162" s="1"/>
    </row>
    <row r="163" spans="1:9">
      <c r="A163" s="649" t="s">
        <v>878</v>
      </c>
      <c r="B163" s="649" t="s">
        <v>6620</v>
      </c>
      <c r="C163" s="1" t="s">
        <v>10958</v>
      </c>
      <c r="D163" s="8">
        <v>2478</v>
      </c>
      <c r="F163" s="649" t="s">
        <v>10793</v>
      </c>
      <c r="G163" s="20"/>
      <c r="I163" s="1"/>
    </row>
    <row r="164" spans="1:9">
      <c r="A164" s="649" t="s">
        <v>879</v>
      </c>
      <c r="B164" s="649" t="s">
        <v>10959</v>
      </c>
      <c r="C164" s="1" t="s">
        <v>10960</v>
      </c>
      <c r="D164" s="7">
        <v>4351</v>
      </c>
      <c r="F164" s="649" t="s">
        <v>10783</v>
      </c>
      <c r="G164" s="19"/>
      <c r="I164" s="1"/>
    </row>
    <row r="165" spans="1:9">
      <c r="A165" s="649" t="s">
        <v>880</v>
      </c>
      <c r="B165" s="649" t="s">
        <v>10961</v>
      </c>
      <c r="C165" s="1" t="s">
        <v>10962</v>
      </c>
      <c r="D165" s="8">
        <v>2022</v>
      </c>
      <c r="F165" s="649" t="s">
        <v>10794</v>
      </c>
      <c r="G165" s="20"/>
      <c r="I165" s="1"/>
    </row>
    <row r="166" spans="1:9">
      <c r="A166" s="649" t="s">
        <v>721</v>
      </c>
      <c r="B166" s="649" t="s">
        <v>10963</v>
      </c>
      <c r="C166" s="1" t="s">
        <v>10964</v>
      </c>
      <c r="D166" s="8">
        <v>2362</v>
      </c>
      <c r="F166" s="649" t="s">
        <v>10793</v>
      </c>
      <c r="G166" s="20"/>
      <c r="I166" s="1"/>
    </row>
    <row r="167" spans="1:9">
      <c r="A167" s="649" t="s">
        <v>722</v>
      </c>
      <c r="B167" s="649" t="s">
        <v>10965</v>
      </c>
      <c r="C167" s="1" t="s">
        <v>10966</v>
      </c>
      <c r="D167" s="8">
        <v>3871</v>
      </c>
      <c r="F167" s="649" t="s">
        <v>10794</v>
      </c>
      <c r="G167" s="20"/>
      <c r="I167" s="1"/>
    </row>
    <row r="168" spans="1:9">
      <c r="A168" s="649" t="s">
        <v>723</v>
      </c>
      <c r="B168" s="649" t="s">
        <v>10967</v>
      </c>
      <c r="C168" s="1" t="s">
        <v>10968</v>
      </c>
      <c r="D168" s="8">
        <v>3814</v>
      </c>
      <c r="F168" s="649" t="s">
        <v>10794</v>
      </c>
      <c r="G168" s="20"/>
      <c r="I168" s="1"/>
    </row>
    <row r="169" spans="1:9">
      <c r="A169" s="649" t="s">
        <v>733</v>
      </c>
      <c r="B169" s="649" t="s">
        <v>10969</v>
      </c>
      <c r="C169" s="1" t="s">
        <v>10970</v>
      </c>
      <c r="D169" s="8">
        <v>4081</v>
      </c>
      <c r="F169" s="649" t="s">
        <v>10794</v>
      </c>
      <c r="G169" s="20"/>
      <c r="I169" s="1"/>
    </row>
    <row r="170" spans="1:9">
      <c r="A170" s="649" t="s">
        <v>734</v>
      </c>
      <c r="B170" s="649" t="s">
        <v>10971</v>
      </c>
      <c r="C170" s="1" t="s">
        <v>10972</v>
      </c>
      <c r="D170" s="7">
        <v>4753</v>
      </c>
      <c r="F170" s="649" t="s">
        <v>10783</v>
      </c>
      <c r="G170" s="19"/>
      <c r="I170" s="1"/>
    </row>
    <row r="171" spans="1:9">
      <c r="A171" s="662">
        <v>29</v>
      </c>
      <c r="B171" s="649" t="s">
        <v>10973</v>
      </c>
      <c r="C171" s="1" t="s">
        <v>10974</v>
      </c>
      <c r="D171" s="8">
        <v>4108</v>
      </c>
      <c r="F171" s="649" t="s">
        <v>10783</v>
      </c>
      <c r="G171" s="20"/>
      <c r="I171" s="1"/>
    </row>
    <row r="172" spans="1:9" ht="15.75" customHeight="1">
      <c r="A172" s="662">
        <v>30</v>
      </c>
      <c r="B172" s="649" t="s">
        <v>10975</v>
      </c>
      <c r="C172" s="1" t="s">
        <v>10976</v>
      </c>
      <c r="D172" s="8">
        <v>2443</v>
      </c>
      <c r="F172" s="649" t="s">
        <v>10793</v>
      </c>
      <c r="G172" s="20"/>
      <c r="I172" s="1"/>
    </row>
    <row r="173" spans="1:9">
      <c r="A173" s="662">
        <v>31</v>
      </c>
      <c r="B173" s="649" t="s">
        <v>10977</v>
      </c>
      <c r="C173" s="1" t="s">
        <v>10978</v>
      </c>
      <c r="D173" s="8">
        <v>4456</v>
      </c>
      <c r="F173" s="649" t="s">
        <v>10783</v>
      </c>
      <c r="G173" s="20"/>
      <c r="I173" s="1"/>
    </row>
    <row r="174" spans="1:9">
      <c r="A174" s="662">
        <v>32</v>
      </c>
      <c r="B174" s="649" t="s">
        <v>10979</v>
      </c>
      <c r="C174" s="1" t="s">
        <v>10980</v>
      </c>
      <c r="D174" s="8">
        <v>4092</v>
      </c>
      <c r="F174" s="649" t="s">
        <v>10783</v>
      </c>
      <c r="G174" s="20"/>
      <c r="I174" s="1"/>
    </row>
    <row r="175" spans="1:9">
      <c r="A175" s="663">
        <v>33</v>
      </c>
      <c r="B175" s="649" t="s">
        <v>10981</v>
      </c>
      <c r="C175" s="1" t="s">
        <v>10982</v>
      </c>
      <c r="D175" s="8">
        <v>2517</v>
      </c>
      <c r="F175" s="649" t="s">
        <v>10783</v>
      </c>
      <c r="G175" s="20"/>
      <c r="I175" s="1"/>
    </row>
    <row r="176" spans="1:9">
      <c r="A176" s="663">
        <v>34</v>
      </c>
      <c r="B176" s="649" t="s">
        <v>10983</v>
      </c>
      <c r="C176" s="1" t="s">
        <v>10984</v>
      </c>
      <c r="D176" s="8">
        <v>2252</v>
      </c>
      <c r="F176" s="649" t="s">
        <v>10794</v>
      </c>
      <c r="G176" s="20"/>
      <c r="I176" s="1"/>
    </row>
    <row r="177" spans="1:9">
      <c r="A177" s="663">
        <v>35</v>
      </c>
      <c r="B177" s="649" t="s">
        <v>8282</v>
      </c>
      <c r="C177" s="1" t="s">
        <v>10985</v>
      </c>
      <c r="D177" s="8">
        <v>4019</v>
      </c>
      <c r="F177" s="649" t="s">
        <v>10783</v>
      </c>
      <c r="G177" s="20"/>
      <c r="I177" s="1"/>
    </row>
    <row r="178" spans="1:9">
      <c r="D178" s="655"/>
    </row>
    <row r="179" spans="1:9">
      <c r="A179" s="649" t="s">
        <v>10783</v>
      </c>
      <c r="D179" s="652">
        <f>D143+SUM(D147:D151)+SUM(D153:D156)+D161+D164+D170+D171+SUM(D173:D175)+D177</f>
        <v>71868</v>
      </c>
    </row>
    <row r="180" spans="1:9">
      <c r="A180" s="649" t="s">
        <v>10986</v>
      </c>
      <c r="D180" s="652">
        <f>D145+D146+D158+D163+D166+D172</f>
        <v>14502</v>
      </c>
    </row>
    <row r="181" spans="1:9">
      <c r="A181" s="649" t="s">
        <v>10879</v>
      </c>
      <c r="D181" s="652">
        <f>D144+D152+D157+D159+D160+D162+D165+SUM(D167:D169)+D176</f>
        <v>29626</v>
      </c>
    </row>
    <row r="183" spans="1:9">
      <c r="A183" s="649" t="s">
        <v>10987</v>
      </c>
    </row>
    <row r="184" spans="1:9">
      <c r="A184" s="649"/>
    </row>
    <row r="185" spans="1:9">
      <c r="A185" s="649"/>
    </row>
    <row r="186" spans="1:9">
      <c r="D186" s="10" t="s">
        <v>285</v>
      </c>
      <c r="E186" s="38"/>
      <c r="F186" s="38" t="s">
        <v>4116</v>
      </c>
    </row>
    <row r="187" spans="1:9">
      <c r="D187" s="39">
        <v>2016</v>
      </c>
      <c r="E187" s="38"/>
      <c r="F187" s="41" t="s">
        <v>286</v>
      </c>
    </row>
    <row r="188" spans="1:9">
      <c r="A188" s="649" t="s">
        <v>10988</v>
      </c>
      <c r="D188" s="652">
        <f t="shared" ref="D188" si="28">SUM(D189:D212)</f>
        <v>34366</v>
      </c>
    </row>
    <row r="189" spans="1:9">
      <c r="A189" s="649" t="s">
        <v>812</v>
      </c>
      <c r="B189" s="649" t="s">
        <v>10989</v>
      </c>
      <c r="C189" s="1" t="s">
        <v>10990</v>
      </c>
      <c r="D189" s="7">
        <v>1054</v>
      </c>
      <c r="F189" s="649" t="s">
        <v>10789</v>
      </c>
      <c r="G189" s="1"/>
      <c r="I189" s="1"/>
    </row>
    <row r="190" spans="1:9">
      <c r="A190" s="649" t="s">
        <v>813</v>
      </c>
      <c r="B190" s="649" t="s">
        <v>5408</v>
      </c>
      <c r="C190" s="1" t="s">
        <v>10991</v>
      </c>
      <c r="D190" s="7">
        <v>983</v>
      </c>
      <c r="F190" s="649" t="s">
        <v>10789</v>
      </c>
      <c r="G190" s="1"/>
      <c r="I190" s="1"/>
    </row>
    <row r="191" spans="1:9">
      <c r="A191" s="649" t="s">
        <v>814</v>
      </c>
      <c r="B191" s="649" t="s">
        <v>10992</v>
      </c>
      <c r="C191" s="1" t="s">
        <v>10993</v>
      </c>
      <c r="D191" s="7">
        <v>1059</v>
      </c>
      <c r="F191" s="649" t="s">
        <v>10789</v>
      </c>
      <c r="G191" s="1"/>
      <c r="I191" s="1"/>
    </row>
    <row r="192" spans="1:9">
      <c r="A192" s="649" t="s">
        <v>815</v>
      </c>
      <c r="B192" s="649" t="s">
        <v>10994</v>
      </c>
      <c r="C192" s="1" t="s">
        <v>10995</v>
      </c>
      <c r="D192" s="7">
        <v>2312</v>
      </c>
      <c r="F192" s="649" t="s">
        <v>10789</v>
      </c>
      <c r="G192" s="1"/>
      <c r="I192" s="1"/>
    </row>
    <row r="193" spans="1:9">
      <c r="A193" s="649" t="s">
        <v>816</v>
      </c>
      <c r="B193" s="649" t="s">
        <v>10996</v>
      </c>
      <c r="C193" s="1" t="s">
        <v>10997</v>
      </c>
      <c r="D193" s="7">
        <v>1790</v>
      </c>
      <c r="F193" s="649" t="s">
        <v>10789</v>
      </c>
      <c r="G193" s="1"/>
      <c r="I193" s="1"/>
    </row>
    <row r="194" spans="1:9">
      <c r="A194" s="649" t="s">
        <v>826</v>
      </c>
      <c r="B194" s="649" t="s">
        <v>10998</v>
      </c>
      <c r="C194" s="1" t="s">
        <v>10999</v>
      </c>
      <c r="D194" s="7">
        <v>2814</v>
      </c>
      <c r="F194" s="649" t="s">
        <v>10789</v>
      </c>
      <c r="G194" s="1"/>
      <c r="I194" s="1"/>
    </row>
    <row r="195" spans="1:9">
      <c r="A195" s="649" t="s">
        <v>827</v>
      </c>
      <c r="B195" s="649" t="s">
        <v>5003</v>
      </c>
      <c r="C195" s="1" t="s">
        <v>11000</v>
      </c>
      <c r="D195" s="7">
        <v>1012</v>
      </c>
      <c r="F195" s="649" t="s">
        <v>10789</v>
      </c>
      <c r="G195" s="1"/>
      <c r="I195" s="1"/>
    </row>
    <row r="196" spans="1:9">
      <c r="A196" s="649" t="s">
        <v>828</v>
      </c>
      <c r="B196" s="649" t="s">
        <v>11001</v>
      </c>
      <c r="C196" s="1" t="s">
        <v>11002</v>
      </c>
      <c r="D196" s="7">
        <v>960</v>
      </c>
      <c r="F196" s="649" t="s">
        <v>10789</v>
      </c>
      <c r="G196" s="1"/>
      <c r="I196" s="1"/>
    </row>
    <row r="197" spans="1:9">
      <c r="A197" s="649" t="s">
        <v>829</v>
      </c>
      <c r="B197" s="649" t="s">
        <v>11003</v>
      </c>
      <c r="C197" s="1" t="s">
        <v>11004</v>
      </c>
      <c r="D197" s="7">
        <v>1017</v>
      </c>
      <c r="F197" s="649" t="s">
        <v>10789</v>
      </c>
      <c r="G197" s="1"/>
      <c r="I197" s="1"/>
    </row>
    <row r="198" spans="1:9">
      <c r="A198" s="649" t="s">
        <v>830</v>
      </c>
      <c r="B198" s="649" t="s">
        <v>11005</v>
      </c>
      <c r="C198" s="1" t="s">
        <v>11006</v>
      </c>
      <c r="D198" s="7">
        <v>1991</v>
      </c>
      <c r="F198" s="649" t="s">
        <v>10789</v>
      </c>
      <c r="G198" s="1"/>
      <c r="I198" s="1"/>
    </row>
    <row r="199" spans="1:9">
      <c r="A199" s="649" t="s">
        <v>831</v>
      </c>
      <c r="B199" s="649" t="s">
        <v>11007</v>
      </c>
      <c r="C199" s="1" t="s">
        <v>11008</v>
      </c>
      <c r="D199" s="7">
        <v>1310</v>
      </c>
      <c r="F199" s="649" t="s">
        <v>10789</v>
      </c>
      <c r="G199" s="1"/>
      <c r="I199" s="1"/>
    </row>
    <row r="200" spans="1:9">
      <c r="A200" s="649" t="s">
        <v>832</v>
      </c>
      <c r="B200" s="649" t="s">
        <v>11009</v>
      </c>
      <c r="C200" s="1" t="s">
        <v>11010</v>
      </c>
      <c r="D200" s="7">
        <v>2081</v>
      </c>
      <c r="F200" s="649" t="s">
        <v>10789</v>
      </c>
      <c r="G200" s="1"/>
      <c r="I200" s="1"/>
    </row>
    <row r="201" spans="1:9">
      <c r="A201" s="649" t="s">
        <v>833</v>
      </c>
      <c r="B201" s="649" t="s">
        <v>11011</v>
      </c>
      <c r="C201" s="1" t="s">
        <v>11012</v>
      </c>
      <c r="D201" s="7">
        <v>1126</v>
      </c>
      <c r="F201" s="649" t="s">
        <v>10789</v>
      </c>
      <c r="G201" s="1"/>
      <c r="I201" s="1"/>
    </row>
    <row r="202" spans="1:9">
      <c r="A202" s="649" t="s">
        <v>834</v>
      </c>
      <c r="B202" s="649" t="s">
        <v>11013</v>
      </c>
      <c r="C202" s="1" t="s">
        <v>11014</v>
      </c>
      <c r="D202" s="7">
        <v>1087</v>
      </c>
      <c r="F202" s="649" t="s">
        <v>10789</v>
      </c>
      <c r="G202" s="1"/>
      <c r="I202" s="1"/>
    </row>
    <row r="203" spans="1:9">
      <c r="A203" s="649" t="s">
        <v>835</v>
      </c>
      <c r="B203" s="649" t="s">
        <v>11015</v>
      </c>
      <c r="C203" s="1" t="s">
        <v>11016</v>
      </c>
      <c r="D203" s="7">
        <v>970</v>
      </c>
      <c r="F203" s="649" t="s">
        <v>10789</v>
      </c>
      <c r="G203" s="1"/>
      <c r="I203" s="1"/>
    </row>
    <row r="204" spans="1:9">
      <c r="A204" s="649" t="s">
        <v>836</v>
      </c>
      <c r="B204" s="649" t="s">
        <v>11017</v>
      </c>
      <c r="C204" s="1" t="s">
        <v>11018</v>
      </c>
      <c r="D204" s="8">
        <v>934</v>
      </c>
      <c r="F204" s="649" t="s">
        <v>10789</v>
      </c>
      <c r="G204" s="1"/>
      <c r="I204" s="1"/>
    </row>
    <row r="205" spans="1:9">
      <c r="A205" s="649" t="s">
        <v>837</v>
      </c>
      <c r="B205" s="649" t="s">
        <v>11019</v>
      </c>
      <c r="C205" s="1" t="s">
        <v>11020</v>
      </c>
      <c r="D205" s="8">
        <v>1048</v>
      </c>
      <c r="F205" s="649" t="s">
        <v>10789</v>
      </c>
      <c r="G205" s="1"/>
      <c r="I205" s="1"/>
    </row>
    <row r="206" spans="1:9">
      <c r="A206" s="649" t="s">
        <v>838</v>
      </c>
      <c r="B206" s="649" t="s">
        <v>11021</v>
      </c>
      <c r="C206" s="1" t="s">
        <v>11022</v>
      </c>
      <c r="D206" s="8">
        <v>942</v>
      </c>
      <c r="F206" s="649" t="s">
        <v>10789</v>
      </c>
      <c r="G206" s="1"/>
      <c r="I206" s="1"/>
    </row>
    <row r="207" spans="1:9">
      <c r="A207" s="649" t="s">
        <v>840</v>
      </c>
      <c r="B207" s="649" t="s">
        <v>11023</v>
      </c>
      <c r="C207" s="1" t="s">
        <v>11024</v>
      </c>
      <c r="D207" s="8">
        <v>956</v>
      </c>
      <c r="F207" s="649" t="s">
        <v>10789</v>
      </c>
      <c r="G207" s="1"/>
      <c r="I207" s="1"/>
    </row>
    <row r="208" spans="1:9">
      <c r="A208" s="649" t="s">
        <v>841</v>
      </c>
      <c r="B208" s="649" t="s">
        <v>11025</v>
      </c>
      <c r="C208" s="1" t="s">
        <v>11026</v>
      </c>
      <c r="D208" s="8">
        <v>2192</v>
      </c>
      <c r="F208" s="649" t="s">
        <v>10789</v>
      </c>
      <c r="G208" s="1"/>
      <c r="I208" s="1"/>
    </row>
    <row r="209" spans="1:9">
      <c r="A209" s="662">
        <v>21</v>
      </c>
      <c r="B209" s="649" t="s">
        <v>11027</v>
      </c>
      <c r="C209" s="1" t="s">
        <v>11028</v>
      </c>
      <c r="D209" s="8">
        <v>2056</v>
      </c>
      <c r="F209" s="649" t="s">
        <v>10789</v>
      </c>
      <c r="G209" s="1"/>
      <c r="I209" s="1"/>
    </row>
    <row r="210" spans="1:9">
      <c r="A210" s="649" t="s">
        <v>879</v>
      </c>
      <c r="B210" s="649" t="s">
        <v>11029</v>
      </c>
      <c r="C210" s="1" t="s">
        <v>11030</v>
      </c>
      <c r="D210" s="8">
        <v>2128</v>
      </c>
      <c r="F210" s="649" t="s">
        <v>10789</v>
      </c>
      <c r="G210" s="1"/>
      <c r="I210" s="1"/>
    </row>
    <row r="211" spans="1:9">
      <c r="A211" s="649" t="s">
        <v>880</v>
      </c>
      <c r="B211" s="649" t="s">
        <v>11031</v>
      </c>
      <c r="C211" s="1" t="s">
        <v>11032</v>
      </c>
      <c r="D211" s="8">
        <v>1631</v>
      </c>
      <c r="F211" s="649" t="s">
        <v>10789</v>
      </c>
      <c r="G211" s="1"/>
      <c r="I211" s="1"/>
    </row>
    <row r="212" spans="1:9">
      <c r="A212" s="649" t="s">
        <v>721</v>
      </c>
      <c r="B212" s="649" t="s">
        <v>11033</v>
      </c>
      <c r="C212" s="1" t="s">
        <v>11034</v>
      </c>
      <c r="D212" s="8">
        <v>913</v>
      </c>
      <c r="F212" s="649" t="s">
        <v>10789</v>
      </c>
      <c r="G212" s="1"/>
      <c r="I212" s="1"/>
    </row>
    <row r="213" spans="1:9">
      <c r="D213" s="655"/>
    </row>
    <row r="214" spans="1:9">
      <c r="A214" s="649" t="s">
        <v>10916</v>
      </c>
      <c r="D214" s="652">
        <f t="shared" ref="D214" si="29">SUM(D189:D212)</f>
        <v>34366</v>
      </c>
    </row>
    <row r="215" spans="1:9">
      <c r="A215" s="649"/>
      <c r="D215" s="652"/>
    </row>
    <row r="216" spans="1:9">
      <c r="A216" s="649" t="s">
        <v>11035</v>
      </c>
      <c r="D216" s="652"/>
    </row>
    <row r="217" spans="1:9">
      <c r="A217" s="649"/>
      <c r="B217" s="649"/>
      <c r="D217" s="664"/>
    </row>
    <row r="218" spans="1:9">
      <c r="A218" s="649"/>
      <c r="B218" s="649"/>
      <c r="D218" s="664"/>
    </row>
    <row r="219" spans="1:9">
      <c r="D219" s="10" t="s">
        <v>285</v>
      </c>
      <c r="E219" s="38"/>
      <c r="F219" s="38" t="s">
        <v>4116</v>
      </c>
    </row>
    <row r="220" spans="1:9">
      <c r="D220" s="39">
        <v>2016</v>
      </c>
      <c r="E220" s="38"/>
      <c r="F220" s="41" t="s">
        <v>286</v>
      </c>
    </row>
    <row r="221" spans="1:9">
      <c r="A221" s="649" t="s">
        <v>10780</v>
      </c>
      <c r="D221" s="652">
        <f t="shared" ref="D221" si="30">SUM(D222:D241)</f>
        <v>39668</v>
      </c>
    </row>
    <row r="222" spans="1:9">
      <c r="A222" s="662">
        <v>1</v>
      </c>
      <c r="B222" s="649" t="s">
        <v>11036</v>
      </c>
      <c r="C222" s="1" t="s">
        <v>11037</v>
      </c>
      <c r="D222" s="13">
        <v>1479</v>
      </c>
      <c r="F222" s="649" t="s">
        <v>10795</v>
      </c>
      <c r="G222" s="1"/>
      <c r="I222" s="1"/>
    </row>
    <row r="223" spans="1:9">
      <c r="A223" s="662">
        <v>2</v>
      </c>
      <c r="B223" s="649" t="s">
        <v>11038</v>
      </c>
      <c r="C223" s="1" t="s">
        <v>11039</v>
      </c>
      <c r="D223" s="13">
        <v>1236</v>
      </c>
      <c r="F223" s="649" t="s">
        <v>10795</v>
      </c>
      <c r="G223" s="1"/>
      <c r="I223" s="1"/>
    </row>
    <row r="224" spans="1:9">
      <c r="A224" s="662">
        <v>3</v>
      </c>
      <c r="B224" s="649" t="s">
        <v>11040</v>
      </c>
      <c r="C224" s="1" t="s">
        <v>11041</v>
      </c>
      <c r="D224" s="13">
        <v>1253</v>
      </c>
      <c r="F224" s="649" t="s">
        <v>10795</v>
      </c>
      <c r="G224" s="1"/>
      <c r="I224" s="1"/>
    </row>
    <row r="225" spans="1:9">
      <c r="A225" s="662">
        <v>4</v>
      </c>
      <c r="B225" s="649" t="s">
        <v>5638</v>
      </c>
      <c r="C225" s="1" t="s">
        <v>11042</v>
      </c>
      <c r="D225" s="13">
        <v>1062</v>
      </c>
      <c r="F225" s="649" t="s">
        <v>10795</v>
      </c>
      <c r="G225" s="1"/>
      <c r="I225" s="1"/>
    </row>
    <row r="226" spans="1:9">
      <c r="A226" s="662">
        <v>5</v>
      </c>
      <c r="B226" s="649" t="s">
        <v>4133</v>
      </c>
      <c r="C226" s="1" t="s">
        <v>11043</v>
      </c>
      <c r="D226" s="13">
        <v>2630</v>
      </c>
      <c r="F226" s="649" t="s">
        <v>10795</v>
      </c>
      <c r="G226" s="1"/>
      <c r="I226" s="1"/>
    </row>
    <row r="227" spans="1:9">
      <c r="A227" s="662">
        <v>6</v>
      </c>
      <c r="B227" s="649" t="s">
        <v>11044</v>
      </c>
      <c r="C227" s="1" t="s">
        <v>11045</v>
      </c>
      <c r="D227" s="13">
        <v>2369</v>
      </c>
      <c r="F227" s="649" t="s">
        <v>10795</v>
      </c>
      <c r="G227" s="1"/>
      <c r="I227" s="1"/>
    </row>
    <row r="228" spans="1:9">
      <c r="A228" s="662">
        <v>7</v>
      </c>
      <c r="B228" s="649" t="s">
        <v>11046</v>
      </c>
      <c r="C228" s="1" t="s">
        <v>11047</v>
      </c>
      <c r="D228" s="13">
        <v>1384</v>
      </c>
      <c r="F228" s="649" t="s">
        <v>10795</v>
      </c>
      <c r="G228" s="1"/>
      <c r="I228" s="1"/>
    </row>
    <row r="229" spans="1:9">
      <c r="A229" s="662">
        <v>8</v>
      </c>
      <c r="B229" s="649" t="s">
        <v>11048</v>
      </c>
      <c r="C229" s="1" t="s">
        <v>11049</v>
      </c>
      <c r="D229" s="13">
        <v>2634</v>
      </c>
      <c r="F229" s="649" t="s">
        <v>10795</v>
      </c>
      <c r="G229" s="1"/>
      <c r="I229" s="1"/>
    </row>
    <row r="230" spans="1:9">
      <c r="A230" s="662">
        <v>9</v>
      </c>
      <c r="B230" s="649" t="s">
        <v>11050</v>
      </c>
      <c r="C230" s="1" t="s">
        <v>11051</v>
      </c>
      <c r="D230" s="13">
        <v>3745</v>
      </c>
      <c r="F230" s="649" t="s">
        <v>10795</v>
      </c>
      <c r="G230" s="1"/>
      <c r="I230" s="1"/>
    </row>
    <row r="231" spans="1:9">
      <c r="A231" s="662">
        <v>10</v>
      </c>
      <c r="B231" s="649" t="s">
        <v>11052</v>
      </c>
      <c r="C231" s="1" t="s">
        <v>11053</v>
      </c>
      <c r="D231" s="13">
        <v>3060</v>
      </c>
      <c r="F231" s="649" t="s">
        <v>10795</v>
      </c>
      <c r="G231" s="1"/>
      <c r="I231" s="1"/>
    </row>
    <row r="232" spans="1:9">
      <c r="A232" s="662">
        <v>11</v>
      </c>
      <c r="B232" s="649" t="s">
        <v>6179</v>
      </c>
      <c r="C232" s="1" t="s">
        <v>11054</v>
      </c>
      <c r="D232" s="13">
        <v>2408</v>
      </c>
      <c r="F232" s="649" t="s">
        <v>10795</v>
      </c>
      <c r="G232" s="1"/>
      <c r="I232" s="1"/>
    </row>
    <row r="233" spans="1:9">
      <c r="A233" s="662">
        <v>12</v>
      </c>
      <c r="B233" s="649" t="s">
        <v>11055</v>
      </c>
      <c r="C233" s="1" t="s">
        <v>11056</v>
      </c>
      <c r="D233" s="13">
        <v>2747</v>
      </c>
      <c r="F233" s="649" t="s">
        <v>10795</v>
      </c>
      <c r="G233" s="1"/>
      <c r="I233" s="1"/>
    </row>
    <row r="234" spans="1:9">
      <c r="A234" s="662">
        <v>13</v>
      </c>
      <c r="B234" s="649" t="s">
        <v>11057</v>
      </c>
      <c r="C234" s="1" t="s">
        <v>11058</v>
      </c>
      <c r="D234" s="13">
        <v>2701</v>
      </c>
      <c r="F234" s="649" t="s">
        <v>10795</v>
      </c>
      <c r="G234" s="1"/>
      <c r="I234" s="1"/>
    </row>
    <row r="235" spans="1:9">
      <c r="A235" s="662">
        <v>14</v>
      </c>
      <c r="B235" s="649" t="s">
        <v>11059</v>
      </c>
      <c r="C235" s="1" t="s">
        <v>11060</v>
      </c>
      <c r="D235" s="13">
        <v>1332</v>
      </c>
      <c r="F235" s="649" t="s">
        <v>10795</v>
      </c>
      <c r="G235" s="1"/>
      <c r="I235" s="1"/>
    </row>
    <row r="236" spans="1:9">
      <c r="A236" s="662">
        <v>15</v>
      </c>
      <c r="B236" s="649" t="s">
        <v>11061</v>
      </c>
      <c r="C236" s="1" t="s">
        <v>11062</v>
      </c>
      <c r="D236" s="13">
        <v>1320</v>
      </c>
      <c r="F236" s="649" t="s">
        <v>10795</v>
      </c>
      <c r="G236" s="1"/>
      <c r="I236" s="1"/>
    </row>
    <row r="237" spans="1:9">
      <c r="A237" s="662">
        <v>16</v>
      </c>
      <c r="B237" s="649" t="s">
        <v>6348</v>
      </c>
      <c r="C237" s="1" t="s">
        <v>11063</v>
      </c>
      <c r="D237" s="13">
        <v>1505</v>
      </c>
      <c r="F237" s="649" t="s">
        <v>10795</v>
      </c>
      <c r="G237" s="13"/>
      <c r="H237" s="13"/>
      <c r="I237" s="1"/>
    </row>
    <row r="238" spans="1:9">
      <c r="A238" s="662">
        <v>17</v>
      </c>
      <c r="B238" s="649" t="s">
        <v>11064</v>
      </c>
      <c r="C238" s="1" t="s">
        <v>11065</v>
      </c>
      <c r="D238" s="13">
        <v>1345</v>
      </c>
      <c r="F238" s="649" t="s">
        <v>10795</v>
      </c>
      <c r="G238" s="1"/>
      <c r="I238" s="1"/>
    </row>
    <row r="239" spans="1:9">
      <c r="A239" s="663">
        <v>18</v>
      </c>
      <c r="B239" s="649" t="s">
        <v>11066</v>
      </c>
      <c r="C239" s="1" t="s">
        <v>11067</v>
      </c>
      <c r="D239" s="13">
        <v>1381</v>
      </c>
      <c r="F239" s="649" t="s">
        <v>10795</v>
      </c>
      <c r="G239" s="1"/>
      <c r="I239" s="1"/>
    </row>
    <row r="240" spans="1:9">
      <c r="A240" s="663">
        <v>19</v>
      </c>
      <c r="B240" s="649" t="s">
        <v>11068</v>
      </c>
      <c r="C240" s="1" t="s">
        <v>11069</v>
      </c>
      <c r="D240" s="13">
        <v>2616</v>
      </c>
      <c r="F240" s="649" t="s">
        <v>10795</v>
      </c>
      <c r="G240" s="1"/>
      <c r="I240" s="1"/>
    </row>
    <row r="241" spans="1:9">
      <c r="A241" s="663">
        <v>20</v>
      </c>
      <c r="B241" s="649" t="s">
        <v>10736</v>
      </c>
      <c r="C241" s="1" t="s">
        <v>11070</v>
      </c>
      <c r="D241" s="13">
        <v>1461</v>
      </c>
      <c r="F241" s="649" t="s">
        <v>10795</v>
      </c>
      <c r="G241" s="1"/>
      <c r="I241" s="1"/>
    </row>
    <row r="242" spans="1:9">
      <c r="D242" s="655"/>
    </row>
    <row r="243" spans="1:9">
      <c r="A243" s="649" t="s">
        <v>10917</v>
      </c>
      <c r="D243" s="652">
        <f t="shared" ref="D243" si="31">SUM(D222:D241)</f>
        <v>39668</v>
      </c>
    </row>
    <row r="245" spans="1:9">
      <c r="A245" s="649" t="s">
        <v>11071</v>
      </c>
    </row>
    <row r="246" spans="1:9">
      <c r="A246" s="649"/>
    </row>
    <row r="247" spans="1:9">
      <c r="A247" s="649"/>
    </row>
    <row r="248" spans="1:9">
      <c r="D248" s="10" t="s">
        <v>285</v>
      </c>
      <c r="E248" s="38"/>
      <c r="F248" s="38" t="s">
        <v>4116</v>
      </c>
    </row>
    <row r="249" spans="1:9">
      <c r="D249" s="39">
        <v>2016</v>
      </c>
      <c r="E249" s="38"/>
      <c r="F249" s="41" t="s">
        <v>286</v>
      </c>
    </row>
    <row r="250" spans="1:9">
      <c r="A250" s="649" t="s">
        <v>11072</v>
      </c>
      <c r="D250" s="652">
        <f t="shared" ref="D250" si="32">SUM(D251:D275)</f>
        <v>79890</v>
      </c>
    </row>
    <row r="251" spans="1:9">
      <c r="A251" s="649" t="s">
        <v>812</v>
      </c>
      <c r="B251" s="649" t="s">
        <v>883</v>
      </c>
      <c r="C251" s="1" t="s">
        <v>11073</v>
      </c>
      <c r="D251" s="13">
        <v>2783</v>
      </c>
      <c r="F251" s="649" t="s">
        <v>10791</v>
      </c>
      <c r="G251" s="1"/>
      <c r="I251" s="1"/>
    </row>
    <row r="252" spans="1:9">
      <c r="A252" s="649" t="s">
        <v>813</v>
      </c>
      <c r="B252" s="649" t="s">
        <v>11074</v>
      </c>
      <c r="C252" s="1" t="s">
        <v>11075</v>
      </c>
      <c r="D252" s="13">
        <v>3548</v>
      </c>
      <c r="F252" s="649" t="s">
        <v>10791</v>
      </c>
      <c r="G252" s="1"/>
      <c r="I252" s="1"/>
    </row>
    <row r="253" spans="1:9">
      <c r="A253" s="649" t="s">
        <v>814</v>
      </c>
      <c r="B253" s="649" t="s">
        <v>888</v>
      </c>
      <c r="C253" s="1" t="s">
        <v>11076</v>
      </c>
      <c r="D253" s="13">
        <v>2919</v>
      </c>
      <c r="F253" s="649" t="s">
        <v>10791</v>
      </c>
      <c r="G253" s="1"/>
      <c r="I253" s="1"/>
    </row>
    <row r="254" spans="1:9">
      <c r="A254" s="649" t="s">
        <v>815</v>
      </c>
      <c r="B254" s="649" t="s">
        <v>11077</v>
      </c>
      <c r="C254" s="1" t="s">
        <v>11078</v>
      </c>
      <c r="D254" s="13">
        <v>1583</v>
      </c>
      <c r="F254" s="649" t="s">
        <v>10791</v>
      </c>
      <c r="G254" s="1"/>
      <c r="I254" s="1"/>
    </row>
    <row r="255" spans="1:9">
      <c r="A255" s="649" t="s">
        <v>816</v>
      </c>
      <c r="B255" s="649" t="s">
        <v>11079</v>
      </c>
      <c r="C255" s="1" t="s">
        <v>11080</v>
      </c>
      <c r="D255" s="13">
        <v>3523</v>
      </c>
      <c r="F255" s="649" t="s">
        <v>10791</v>
      </c>
      <c r="G255" s="1"/>
      <c r="I255" s="1"/>
    </row>
    <row r="256" spans="1:9">
      <c r="A256" s="649" t="s">
        <v>826</v>
      </c>
      <c r="B256" s="649" t="s">
        <v>5451</v>
      </c>
      <c r="C256" s="1" t="s">
        <v>11081</v>
      </c>
      <c r="D256" s="13">
        <v>3879</v>
      </c>
      <c r="F256" s="649" t="s">
        <v>10791</v>
      </c>
      <c r="G256" s="1"/>
      <c r="I256" s="1"/>
    </row>
    <row r="257" spans="1:9">
      <c r="A257" s="649" t="s">
        <v>827</v>
      </c>
      <c r="B257" s="649" t="s">
        <v>11082</v>
      </c>
      <c r="C257" s="1" t="s">
        <v>11083</v>
      </c>
      <c r="D257" s="13">
        <v>3413</v>
      </c>
      <c r="F257" s="649" t="s">
        <v>10791</v>
      </c>
      <c r="G257" s="1"/>
      <c r="I257" s="1"/>
    </row>
    <row r="258" spans="1:9">
      <c r="A258" s="649" t="s">
        <v>828</v>
      </c>
      <c r="B258" s="649" t="s">
        <v>11084</v>
      </c>
      <c r="C258" s="1" t="s">
        <v>11085</v>
      </c>
      <c r="D258" s="13">
        <v>3410</v>
      </c>
      <c r="F258" s="649" t="s">
        <v>10791</v>
      </c>
      <c r="G258" s="1"/>
      <c r="I258" s="1"/>
    </row>
    <row r="259" spans="1:9">
      <c r="A259" s="649" t="s">
        <v>829</v>
      </c>
      <c r="B259" s="649" t="s">
        <v>11086</v>
      </c>
      <c r="C259" s="1" t="s">
        <v>11087</v>
      </c>
      <c r="D259" s="13">
        <v>5255</v>
      </c>
      <c r="F259" s="649" t="s">
        <v>10791</v>
      </c>
      <c r="G259" s="1"/>
      <c r="I259" s="1"/>
    </row>
    <row r="260" spans="1:9">
      <c r="A260" s="649" t="s">
        <v>830</v>
      </c>
      <c r="B260" s="649" t="s">
        <v>11088</v>
      </c>
      <c r="C260" s="1" t="s">
        <v>11089</v>
      </c>
      <c r="D260" s="13">
        <v>1635</v>
      </c>
      <c r="F260" s="649" t="s">
        <v>10791</v>
      </c>
      <c r="G260" s="1"/>
      <c r="I260" s="1"/>
    </row>
    <row r="261" spans="1:9">
      <c r="A261" s="649" t="s">
        <v>831</v>
      </c>
      <c r="B261" s="649" t="s">
        <v>11090</v>
      </c>
      <c r="C261" s="1" t="s">
        <v>11091</v>
      </c>
      <c r="D261" s="13">
        <v>3927</v>
      </c>
      <c r="F261" s="649" t="s">
        <v>10795</v>
      </c>
      <c r="G261" s="1"/>
      <c r="I261" s="1"/>
    </row>
    <row r="262" spans="1:9">
      <c r="A262" s="649" t="s">
        <v>832</v>
      </c>
      <c r="B262" s="649" t="s">
        <v>11092</v>
      </c>
      <c r="C262" s="1" t="s">
        <v>11093</v>
      </c>
      <c r="D262" s="13">
        <v>1761</v>
      </c>
      <c r="F262" s="649" t="s">
        <v>10791</v>
      </c>
      <c r="G262" s="1"/>
      <c r="I262" s="1"/>
    </row>
    <row r="263" spans="1:9">
      <c r="A263" s="649" t="s">
        <v>833</v>
      </c>
      <c r="B263" s="649" t="s">
        <v>10283</v>
      </c>
      <c r="C263" s="1" t="s">
        <v>11094</v>
      </c>
      <c r="D263" s="13">
        <v>3640</v>
      </c>
      <c r="F263" s="649" t="s">
        <v>10791</v>
      </c>
      <c r="G263" s="1"/>
      <c r="I263" s="1"/>
    </row>
    <row r="264" spans="1:9">
      <c r="A264" s="649" t="s">
        <v>834</v>
      </c>
      <c r="B264" s="649" t="s">
        <v>11095</v>
      </c>
      <c r="C264" s="1" t="s">
        <v>11096</v>
      </c>
      <c r="D264" s="13">
        <v>2698</v>
      </c>
      <c r="F264" s="649" t="s">
        <v>10791</v>
      </c>
      <c r="G264" s="1"/>
      <c r="I264" s="1"/>
    </row>
    <row r="265" spans="1:9">
      <c r="A265" s="649" t="s">
        <v>835</v>
      </c>
      <c r="B265" s="649" t="s">
        <v>10952</v>
      </c>
      <c r="C265" s="1" t="s">
        <v>11097</v>
      </c>
      <c r="D265" s="13">
        <v>4957</v>
      </c>
      <c r="F265" s="649" t="s">
        <v>10791</v>
      </c>
      <c r="G265" s="1"/>
      <c r="I265" s="1"/>
    </row>
    <row r="266" spans="1:9">
      <c r="A266" s="649" t="s">
        <v>836</v>
      </c>
      <c r="B266" s="649" t="s">
        <v>11098</v>
      </c>
      <c r="C266" s="1" t="s">
        <v>11099</v>
      </c>
      <c r="D266" s="13">
        <v>3143</v>
      </c>
      <c r="F266" s="649" t="s">
        <v>10791</v>
      </c>
      <c r="G266" s="1"/>
      <c r="I266" s="1"/>
    </row>
    <row r="267" spans="1:9">
      <c r="A267" s="649" t="s">
        <v>837</v>
      </c>
      <c r="B267" s="649" t="s">
        <v>11100</v>
      </c>
      <c r="C267" s="1" t="s">
        <v>11101</v>
      </c>
      <c r="D267" s="13">
        <v>2965</v>
      </c>
      <c r="F267" s="649" t="s">
        <v>10791</v>
      </c>
      <c r="G267" s="1"/>
      <c r="I267" s="1"/>
    </row>
    <row r="268" spans="1:9">
      <c r="A268" s="649" t="s">
        <v>838</v>
      </c>
      <c r="B268" s="649" t="s">
        <v>11102</v>
      </c>
      <c r="C268" s="1" t="s">
        <v>11103</v>
      </c>
      <c r="D268" s="13">
        <v>2707</v>
      </c>
      <c r="F268" s="649" t="s">
        <v>10791</v>
      </c>
      <c r="G268" s="1"/>
      <c r="I268" s="1"/>
    </row>
    <row r="269" spans="1:9">
      <c r="A269" s="662">
        <v>19</v>
      </c>
      <c r="B269" s="649" t="s">
        <v>11104</v>
      </c>
      <c r="C269" s="1" t="s">
        <v>11105</v>
      </c>
      <c r="D269" s="13">
        <v>3285</v>
      </c>
      <c r="F269" s="649" t="s">
        <v>10791</v>
      </c>
      <c r="G269" s="1"/>
      <c r="I269" s="1"/>
    </row>
    <row r="270" spans="1:9">
      <c r="A270" s="662">
        <v>20</v>
      </c>
      <c r="B270" s="649" t="s">
        <v>11106</v>
      </c>
      <c r="C270" s="1" t="s">
        <v>11107</v>
      </c>
      <c r="D270" s="13">
        <v>3596</v>
      </c>
      <c r="F270" s="649" t="s">
        <v>10791</v>
      </c>
      <c r="G270" s="1"/>
      <c r="I270" s="1"/>
    </row>
    <row r="271" spans="1:9">
      <c r="A271" s="662">
        <v>21</v>
      </c>
      <c r="B271" s="649" t="s">
        <v>11108</v>
      </c>
      <c r="C271" s="1" t="s">
        <v>11109</v>
      </c>
      <c r="D271" s="13">
        <v>3211</v>
      </c>
      <c r="F271" s="649" t="s">
        <v>10791</v>
      </c>
      <c r="G271" s="1"/>
      <c r="I271" s="1"/>
    </row>
    <row r="272" spans="1:9">
      <c r="A272" s="662">
        <v>22</v>
      </c>
      <c r="B272" s="649" t="s">
        <v>11110</v>
      </c>
      <c r="C272" s="1" t="s">
        <v>11111</v>
      </c>
      <c r="D272" s="13">
        <v>3275</v>
      </c>
      <c r="F272" s="649" t="s">
        <v>10791</v>
      </c>
      <c r="G272" s="1"/>
      <c r="I272" s="1"/>
    </row>
    <row r="273" spans="1:9">
      <c r="A273" s="662">
        <v>23</v>
      </c>
      <c r="B273" s="649" t="s">
        <v>11112</v>
      </c>
      <c r="C273" s="1" t="s">
        <v>11113</v>
      </c>
      <c r="D273" s="13">
        <v>2749</v>
      </c>
      <c r="F273" s="649" t="s">
        <v>10791</v>
      </c>
      <c r="G273" s="1"/>
      <c r="I273" s="1"/>
    </row>
    <row r="274" spans="1:9">
      <c r="A274" s="662">
        <v>24</v>
      </c>
      <c r="B274" s="649" t="s">
        <v>11114</v>
      </c>
      <c r="C274" s="1" t="s">
        <v>11115</v>
      </c>
      <c r="D274" s="13">
        <v>2945</v>
      </c>
      <c r="F274" s="649" t="s">
        <v>10791</v>
      </c>
      <c r="G274" s="1"/>
      <c r="I274" s="1"/>
    </row>
    <row r="275" spans="1:9">
      <c r="A275" s="662">
        <v>25</v>
      </c>
      <c r="B275" s="649" t="s">
        <v>3542</v>
      </c>
      <c r="C275" s="1" t="s">
        <v>11116</v>
      </c>
      <c r="D275" s="13">
        <v>3083</v>
      </c>
      <c r="F275" s="649" t="s">
        <v>10791</v>
      </c>
      <c r="G275" s="1"/>
      <c r="I275" s="1"/>
    </row>
    <row r="276" spans="1:9">
      <c r="D276" s="655"/>
    </row>
    <row r="277" spans="1:9">
      <c r="A277" s="649" t="s">
        <v>10791</v>
      </c>
      <c r="D277" s="652">
        <f>SUM(D251:D260)+SUM(D262:D275)</f>
        <v>75963</v>
      </c>
    </row>
    <row r="278" spans="1:9">
      <c r="A278" s="649" t="s">
        <v>10917</v>
      </c>
      <c r="D278" s="652">
        <f>D261</f>
        <v>3927</v>
      </c>
    </row>
    <row r="279" spans="1:9">
      <c r="A279" s="649"/>
      <c r="D279" s="652"/>
    </row>
    <row r="280" spans="1:9">
      <c r="A280" s="649" t="s">
        <v>11117</v>
      </c>
      <c r="D280" s="652"/>
    </row>
    <row r="281" spans="1:9">
      <c r="A281" s="649"/>
      <c r="B281" s="649"/>
      <c r="D281" s="664"/>
    </row>
    <row r="282" spans="1:9">
      <c r="A282" s="649"/>
      <c r="B282" s="649"/>
      <c r="D282" s="664"/>
    </row>
    <row r="283" spans="1:9">
      <c r="D283" s="10" t="s">
        <v>285</v>
      </c>
      <c r="E283" s="38"/>
      <c r="F283" s="38" t="s">
        <v>4116</v>
      </c>
    </row>
    <row r="284" spans="1:9">
      <c r="D284" s="39">
        <v>2016</v>
      </c>
      <c r="E284" s="38"/>
      <c r="F284" s="41" t="s">
        <v>286</v>
      </c>
    </row>
    <row r="285" spans="1:9">
      <c r="A285" s="649" t="s">
        <v>10782</v>
      </c>
      <c r="D285" s="652">
        <f t="shared" ref="D285" si="33">SUM(D286:D304)</f>
        <v>63151</v>
      </c>
    </row>
    <row r="286" spans="1:9">
      <c r="A286" s="662">
        <v>1</v>
      </c>
      <c r="B286" s="649" t="s">
        <v>11118</v>
      </c>
      <c r="C286" s="1" t="s">
        <v>11119</v>
      </c>
      <c r="D286" s="7">
        <v>4422</v>
      </c>
      <c r="F286" s="649" t="s">
        <v>10793</v>
      </c>
      <c r="G286" s="1"/>
      <c r="I286" s="1"/>
    </row>
    <row r="287" spans="1:9">
      <c r="A287" s="662">
        <v>2</v>
      </c>
      <c r="B287" s="649" t="s">
        <v>11120</v>
      </c>
      <c r="C287" s="1" t="s">
        <v>11121</v>
      </c>
      <c r="D287" s="7">
        <v>2072</v>
      </c>
      <c r="F287" s="649" t="s">
        <v>10793</v>
      </c>
      <c r="G287" s="1"/>
      <c r="I287" s="1"/>
    </row>
    <row r="288" spans="1:9">
      <c r="A288" s="662">
        <v>3</v>
      </c>
      <c r="B288" s="649" t="s">
        <v>11122</v>
      </c>
      <c r="C288" s="1" t="s">
        <v>11123</v>
      </c>
      <c r="D288" s="7">
        <v>4721</v>
      </c>
      <c r="F288" s="649" t="s">
        <v>10793</v>
      </c>
      <c r="G288" s="1"/>
      <c r="I288" s="1"/>
    </row>
    <row r="289" spans="1:9">
      <c r="A289" s="662">
        <v>4</v>
      </c>
      <c r="B289" s="649" t="s">
        <v>11124</v>
      </c>
      <c r="C289" s="1" t="s">
        <v>11125</v>
      </c>
      <c r="D289" s="7">
        <v>2196</v>
      </c>
      <c r="F289" s="658" t="s">
        <v>10785</v>
      </c>
      <c r="G289" s="1"/>
      <c r="I289" s="1"/>
    </row>
    <row r="290" spans="1:9">
      <c r="A290" s="662">
        <v>5</v>
      </c>
      <c r="B290" s="650" t="s">
        <v>11126</v>
      </c>
      <c r="C290" s="1" t="s">
        <v>11127</v>
      </c>
      <c r="D290" s="7">
        <v>4498</v>
      </c>
      <c r="F290" s="649" t="s">
        <v>10793</v>
      </c>
      <c r="G290" s="1"/>
      <c r="I290" s="1"/>
    </row>
    <row r="291" spans="1:9">
      <c r="A291" s="662">
        <v>6</v>
      </c>
      <c r="B291" s="649" t="s">
        <v>11128</v>
      </c>
      <c r="C291" s="1" t="s">
        <v>11129</v>
      </c>
      <c r="D291" s="7">
        <v>2404</v>
      </c>
      <c r="F291" s="649" t="s">
        <v>10793</v>
      </c>
      <c r="G291" s="1"/>
      <c r="I291" s="1"/>
    </row>
    <row r="292" spans="1:9">
      <c r="A292" s="662">
        <v>7</v>
      </c>
      <c r="B292" s="649" t="s">
        <v>4133</v>
      </c>
      <c r="C292" s="1" t="s">
        <v>11130</v>
      </c>
      <c r="D292" s="7">
        <v>4270</v>
      </c>
      <c r="F292" s="649" t="s">
        <v>10793</v>
      </c>
      <c r="G292" s="1"/>
      <c r="I292" s="1"/>
    </row>
    <row r="293" spans="1:9">
      <c r="A293" s="662">
        <v>8</v>
      </c>
      <c r="B293" s="649" t="s">
        <v>11131</v>
      </c>
      <c r="C293" s="1" t="s">
        <v>11132</v>
      </c>
      <c r="D293" s="7">
        <v>2153</v>
      </c>
      <c r="F293" s="649" t="s">
        <v>10793</v>
      </c>
      <c r="G293" s="1"/>
      <c r="I293" s="1"/>
    </row>
    <row r="294" spans="1:9">
      <c r="A294" s="662">
        <v>9</v>
      </c>
      <c r="B294" s="649" t="s">
        <v>11133</v>
      </c>
      <c r="C294" s="1" t="s">
        <v>11134</v>
      </c>
      <c r="D294" s="7">
        <v>1903</v>
      </c>
      <c r="F294" s="649" t="s">
        <v>10793</v>
      </c>
      <c r="G294" s="1"/>
      <c r="I294" s="1"/>
    </row>
    <row r="295" spans="1:9">
      <c r="A295" s="662">
        <v>10</v>
      </c>
      <c r="B295" s="649" t="s">
        <v>10577</v>
      </c>
      <c r="C295" s="1" t="s">
        <v>11135</v>
      </c>
      <c r="D295" s="7">
        <v>2090</v>
      </c>
      <c r="F295" s="649" t="s">
        <v>10793</v>
      </c>
      <c r="G295" s="1"/>
      <c r="I295" s="1"/>
    </row>
    <row r="296" spans="1:9">
      <c r="A296" s="662">
        <v>11</v>
      </c>
      <c r="B296" s="649" t="s">
        <v>11136</v>
      </c>
      <c r="C296" s="1" t="s">
        <v>11137</v>
      </c>
      <c r="D296" s="7">
        <v>2322</v>
      </c>
      <c r="F296" s="649" t="s">
        <v>10793</v>
      </c>
      <c r="G296" s="1"/>
      <c r="I296" s="1"/>
    </row>
    <row r="297" spans="1:9">
      <c r="A297" s="662">
        <v>12</v>
      </c>
      <c r="B297" s="649" t="s">
        <v>11138</v>
      </c>
      <c r="C297" s="1" t="s">
        <v>11139</v>
      </c>
      <c r="D297" s="7">
        <v>1896</v>
      </c>
      <c r="F297" s="649" t="s">
        <v>10793</v>
      </c>
      <c r="G297" s="1"/>
      <c r="I297" s="1"/>
    </row>
    <row r="298" spans="1:9">
      <c r="A298" s="662">
        <v>13</v>
      </c>
      <c r="B298" s="649" t="s">
        <v>11140</v>
      </c>
      <c r="C298" s="1" t="s">
        <v>11141</v>
      </c>
      <c r="D298" s="7">
        <v>4450</v>
      </c>
      <c r="F298" s="649" t="s">
        <v>10793</v>
      </c>
      <c r="G298" s="1"/>
      <c r="I298" s="1"/>
    </row>
    <row r="299" spans="1:9">
      <c r="A299" s="662">
        <v>14</v>
      </c>
      <c r="B299" s="649" t="s">
        <v>11142</v>
      </c>
      <c r="C299" s="1" t="s">
        <v>11143</v>
      </c>
      <c r="D299" s="7">
        <v>6581</v>
      </c>
      <c r="F299" s="649" t="s">
        <v>10793</v>
      </c>
      <c r="G299" s="1"/>
      <c r="I299" s="1"/>
    </row>
    <row r="300" spans="1:9">
      <c r="A300" s="662">
        <v>15</v>
      </c>
      <c r="B300" s="649" t="s">
        <v>11144</v>
      </c>
      <c r="C300" s="1" t="s">
        <v>11145</v>
      </c>
      <c r="D300" s="7">
        <v>5023</v>
      </c>
      <c r="F300" s="649" t="s">
        <v>10793</v>
      </c>
      <c r="G300" s="1"/>
      <c r="I300" s="1"/>
    </row>
    <row r="301" spans="1:9">
      <c r="A301" s="662">
        <v>16</v>
      </c>
      <c r="B301" s="649" t="s">
        <v>11146</v>
      </c>
      <c r="C301" s="1" t="s">
        <v>11147</v>
      </c>
      <c r="D301" s="8">
        <v>2045</v>
      </c>
      <c r="F301" s="649" t="s">
        <v>10793</v>
      </c>
      <c r="G301" s="1"/>
      <c r="I301" s="1"/>
    </row>
    <row r="302" spans="1:9">
      <c r="A302" s="662">
        <v>17</v>
      </c>
      <c r="B302" s="649" t="s">
        <v>11148</v>
      </c>
      <c r="C302" s="1" t="s">
        <v>11149</v>
      </c>
      <c r="D302" s="8">
        <v>5677</v>
      </c>
      <c r="F302" s="649" t="s">
        <v>10793</v>
      </c>
      <c r="G302" s="1"/>
      <c r="I302" s="1"/>
    </row>
    <row r="303" spans="1:9">
      <c r="A303" s="662">
        <v>18</v>
      </c>
      <c r="B303" s="649" t="s">
        <v>11150</v>
      </c>
      <c r="C303" s="1" t="s">
        <v>11151</v>
      </c>
      <c r="D303" s="8">
        <v>2188</v>
      </c>
      <c r="F303" s="649" t="s">
        <v>10793</v>
      </c>
      <c r="G303" s="1"/>
      <c r="I303" s="1"/>
    </row>
    <row r="304" spans="1:9">
      <c r="A304" s="662">
        <v>19</v>
      </c>
      <c r="B304" s="649" t="s">
        <v>11152</v>
      </c>
      <c r="C304" s="1" t="s">
        <v>11153</v>
      </c>
      <c r="D304" s="8">
        <v>2240</v>
      </c>
      <c r="F304" s="658" t="s">
        <v>10788</v>
      </c>
      <c r="G304" s="1"/>
      <c r="I304" s="1"/>
    </row>
    <row r="305" spans="1:4">
      <c r="D305" s="8"/>
    </row>
    <row r="306" spans="1:4">
      <c r="A306" s="658" t="s">
        <v>11154</v>
      </c>
      <c r="D306" s="8">
        <f>D289</f>
        <v>2196</v>
      </c>
    </row>
    <row r="307" spans="1:4">
      <c r="A307" s="658" t="s">
        <v>11155</v>
      </c>
      <c r="D307" s="8">
        <f>D304</f>
        <v>2240</v>
      </c>
    </row>
    <row r="308" spans="1:4">
      <c r="A308" s="649" t="s">
        <v>10986</v>
      </c>
      <c r="D308" s="652">
        <f>SUM(D286:D288)+SUM(D290:D303)</f>
        <v>58715</v>
      </c>
    </row>
    <row r="310" spans="1:4">
      <c r="A310" s="649" t="s">
        <v>11156</v>
      </c>
    </row>
    <row r="311" spans="1:4">
      <c r="A311" s="649"/>
    </row>
    <row r="312" spans="1:4">
      <c r="A312" s="649"/>
    </row>
  </sheetData>
  <printOptions gridLinesSet="0"/>
  <pageMargins left="0.78740157480314965" right="0" top="0.51181102362204722" bottom="0.51181102362204722" header="0.51181102362204722" footer="0.51181102362204722"/>
  <pageSetup paperSize="9" scale="69" orientation="portrait" horizontalDpi="300" verticalDpi="300" r:id="rId1"/>
  <headerFooter alignWithMargins="0">
    <oddFooter>&amp;C&amp;"Times New Roman,Regular"&amp;8&amp;P of &amp;N</oddFooter>
  </headerFooter>
  <rowBreaks count="7" manualBreakCount="7">
    <brk id="83" max="4" man="1"/>
    <brk id="112" max="4" man="1"/>
    <brk id="139" max="4" man="1"/>
    <brk id="185" max="4" man="1"/>
    <brk id="218" max="4" man="1"/>
    <brk id="247" max="4" man="1"/>
    <brk id="282" max="4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57"/>
  <sheetViews>
    <sheetView showGridLines="0" zoomScaleNormal="100" workbookViewId="0"/>
  </sheetViews>
  <sheetFormatPr defaultColWidth="12.59765625" defaultRowHeight="14.5"/>
  <cols>
    <col min="1" max="1" width="4.8984375" style="255" customWidth="1"/>
    <col min="2" max="2" width="40.8984375" style="255" customWidth="1"/>
    <col min="3" max="3" width="11.59765625" style="255" customWidth="1"/>
    <col min="4" max="4" width="10" style="255" customWidth="1"/>
    <col min="5" max="5" width="2.296875" style="255" customWidth="1"/>
    <col min="6" max="6" width="27.3984375" style="255" customWidth="1"/>
    <col min="7" max="16384" width="12.59765625" style="255"/>
  </cols>
  <sheetData>
    <row r="1" spans="1:6">
      <c r="A1" s="235" t="s">
        <v>1075</v>
      </c>
      <c r="D1" s="256">
        <v>2016</v>
      </c>
    </row>
    <row r="3" spans="1:6">
      <c r="A3" s="235" t="s">
        <v>4075</v>
      </c>
      <c r="D3" s="257">
        <f t="shared" ref="D3" si="0">SUM(D5:D11)</f>
        <v>493571</v>
      </c>
    </row>
    <row r="4" spans="1:6">
      <c r="D4" s="258"/>
    </row>
    <row r="5" spans="1:6">
      <c r="A5" s="235" t="s">
        <v>5281</v>
      </c>
      <c r="C5" s="235"/>
      <c r="D5" s="257">
        <f t="shared" ref="D5" si="1">D46</f>
        <v>43281</v>
      </c>
      <c r="F5" s="259"/>
    </row>
    <row r="6" spans="1:6">
      <c r="A6" s="235" t="s">
        <v>5282</v>
      </c>
      <c r="C6" s="235"/>
      <c r="D6" s="257">
        <f t="shared" ref="D6" si="2">D67</f>
        <v>58392</v>
      </c>
      <c r="F6" s="259"/>
    </row>
    <row r="7" spans="1:6">
      <c r="A7" s="235" t="s">
        <v>5283</v>
      </c>
      <c r="C7" s="235"/>
      <c r="D7" s="257">
        <f t="shared" ref="D7" si="3">D93</f>
        <v>64731</v>
      </c>
      <c r="F7" s="259"/>
    </row>
    <row r="8" spans="1:6">
      <c r="A8" s="235" t="s">
        <v>5284</v>
      </c>
      <c r="C8" s="235"/>
      <c r="D8" s="257">
        <f t="shared" ref="D8" si="4">D126</f>
        <v>68279</v>
      </c>
      <c r="F8" s="259"/>
    </row>
    <row r="9" spans="1:6">
      <c r="A9" s="235" t="s">
        <v>5285</v>
      </c>
      <c r="C9" s="235"/>
      <c r="D9" s="257">
        <f t="shared" ref="D9" si="5">D153</f>
        <v>137787</v>
      </c>
      <c r="F9" s="259"/>
    </row>
    <row r="10" spans="1:6">
      <c r="A10" s="235" t="s">
        <v>5286</v>
      </c>
      <c r="C10" s="235"/>
      <c r="D10" s="257">
        <f t="shared" ref="D10" si="6">D196</f>
        <v>68535</v>
      </c>
      <c r="F10" s="259"/>
    </row>
    <row r="11" spans="1:6">
      <c r="A11" s="235" t="s">
        <v>5287</v>
      </c>
      <c r="C11" s="235"/>
      <c r="D11" s="257">
        <f t="shared" ref="D11" si="7">D234</f>
        <v>52566</v>
      </c>
      <c r="F11" s="259"/>
    </row>
    <row r="12" spans="1:6">
      <c r="B12" s="235"/>
      <c r="C12" s="235"/>
      <c r="D12" s="257"/>
      <c r="F12" s="259"/>
    </row>
    <row r="13" spans="1:6">
      <c r="A13" s="235" t="s">
        <v>5288</v>
      </c>
      <c r="D13" s="257">
        <f t="shared" ref="D13" si="8">D60</f>
        <v>43281</v>
      </c>
      <c r="F13" s="235" t="s">
        <v>4068</v>
      </c>
    </row>
    <row r="14" spans="1:6" ht="15" thickBot="1">
      <c r="D14" s="260">
        <f t="shared" ref="D14" si="9">D117</f>
        <v>30437</v>
      </c>
      <c r="F14" s="235" t="s">
        <v>5289</v>
      </c>
    </row>
    <row r="15" spans="1:6" ht="15" thickBot="1">
      <c r="D15" s="260">
        <f t="shared" ref="D15" si="10">D13+D14</f>
        <v>73718</v>
      </c>
    </row>
    <row r="16" spans="1:6">
      <c r="D16" s="258"/>
    </row>
    <row r="17" spans="1:6">
      <c r="A17" s="235" t="s">
        <v>4532</v>
      </c>
      <c r="D17" s="257">
        <f t="shared" ref="D17" si="11">D85</f>
        <v>48244</v>
      </c>
      <c r="F17" s="235" t="s">
        <v>4533</v>
      </c>
    </row>
    <row r="18" spans="1:6">
      <c r="D18" s="261">
        <f>LEICESTERSHIRE!D25</f>
        <v>15886</v>
      </c>
      <c r="F18" s="235" t="s">
        <v>4534</v>
      </c>
    </row>
    <row r="19" spans="1:6" ht="15" thickBot="1">
      <c r="D19" s="260">
        <f>D252</f>
        <v>7450</v>
      </c>
      <c r="F19" s="235" t="s">
        <v>4535</v>
      </c>
    </row>
    <row r="20" spans="1:6" ht="15" thickBot="1">
      <c r="D20" s="260">
        <f>SUM(D17:D19)</f>
        <v>71580</v>
      </c>
    </row>
    <row r="21" spans="1:6">
      <c r="D21" s="258"/>
    </row>
    <row r="22" spans="1:6">
      <c r="A22" s="235" t="s">
        <v>5290</v>
      </c>
      <c r="D22" s="261">
        <f t="shared" ref="D22" si="12">D145</f>
        <v>68279</v>
      </c>
      <c r="F22" s="235" t="s">
        <v>4071</v>
      </c>
    </row>
    <row r="23" spans="1:6" ht="15" thickBot="1">
      <c r="A23" s="235"/>
      <c r="D23" s="260">
        <f>D253</f>
        <v>3210</v>
      </c>
      <c r="F23" s="235" t="s">
        <v>4535</v>
      </c>
    </row>
    <row r="24" spans="1:6" ht="15" thickBot="1">
      <c r="A24" s="235"/>
      <c r="D24" s="260">
        <f t="shared" ref="D24" si="13">D22+D23</f>
        <v>71489</v>
      </c>
      <c r="F24" s="235"/>
    </row>
    <row r="26" spans="1:6">
      <c r="A26" s="235" t="s">
        <v>5291</v>
      </c>
      <c r="D26" s="257">
        <f t="shared" ref="D26" si="14">D188</f>
        <v>72743</v>
      </c>
      <c r="F26" s="235" t="s">
        <v>5292</v>
      </c>
    </row>
    <row r="27" spans="1:6">
      <c r="D27" s="258"/>
    </row>
    <row r="28" spans="1:6">
      <c r="A28" s="235" t="s">
        <v>5293</v>
      </c>
      <c r="D28" s="257">
        <f t="shared" ref="D28" si="15">D189</f>
        <v>65044</v>
      </c>
      <c r="F28" s="235" t="s">
        <v>5292</v>
      </c>
    </row>
    <row r="29" spans="1:6">
      <c r="A29" s="235"/>
      <c r="D29" s="257">
        <f>D225</f>
        <v>5240</v>
      </c>
      <c r="F29" s="235" t="s">
        <v>5294</v>
      </c>
    </row>
    <row r="30" spans="1:6" ht="15" thickBot="1">
      <c r="A30" s="235"/>
      <c r="D30" s="260">
        <f>D254</f>
        <v>4699</v>
      </c>
      <c r="F30" s="235" t="s">
        <v>4535</v>
      </c>
    </row>
    <row r="31" spans="1:6" ht="15" thickBot="1">
      <c r="A31" s="235"/>
      <c r="D31" s="260">
        <f>SUM(D28:D30)</f>
        <v>74983</v>
      </c>
      <c r="F31" s="235"/>
    </row>
    <row r="32" spans="1:6">
      <c r="D32" s="258"/>
    </row>
    <row r="33" spans="1:9">
      <c r="A33" s="235" t="s">
        <v>5295</v>
      </c>
      <c r="D33" s="258">
        <f>D86</f>
        <v>10148</v>
      </c>
      <c r="F33" s="235" t="s">
        <v>4533</v>
      </c>
    </row>
    <row r="34" spans="1:9" ht="15" thickBot="1">
      <c r="D34" s="260">
        <f t="shared" ref="D34" si="16">D226</f>
        <v>63295</v>
      </c>
      <c r="F34" s="235" t="s">
        <v>5294</v>
      </c>
    </row>
    <row r="35" spans="1:9" ht="15" thickBot="1">
      <c r="D35" s="260">
        <f t="shared" ref="D35" si="17">D33+D34</f>
        <v>73443</v>
      </c>
    </row>
    <row r="36" spans="1:9">
      <c r="D36" s="258"/>
    </row>
    <row r="37" spans="1:9">
      <c r="A37" s="235" t="s">
        <v>5296</v>
      </c>
      <c r="D37" s="257">
        <f t="shared" ref="D37" si="18">D118</f>
        <v>34294</v>
      </c>
      <c r="F37" s="235" t="s">
        <v>5289</v>
      </c>
    </row>
    <row r="38" spans="1:9" ht="15" thickBot="1">
      <c r="D38" s="260">
        <f t="shared" ref="D38" si="19">D255</f>
        <v>37207</v>
      </c>
      <c r="F38" s="235" t="s">
        <v>4535</v>
      </c>
    </row>
    <row r="39" spans="1:9" ht="15" thickBot="1">
      <c r="D39" s="260">
        <f t="shared" ref="D39" si="20">D37+D38</f>
        <v>71501</v>
      </c>
    </row>
    <row r="40" spans="1:9">
      <c r="D40" s="258"/>
    </row>
    <row r="41" spans="1:9">
      <c r="A41" s="235" t="s">
        <v>1041</v>
      </c>
      <c r="D41" s="257">
        <f>D15+D17+D19+D24+D26+D31+D35+D39</f>
        <v>493571</v>
      </c>
    </row>
    <row r="42" spans="1:9">
      <c r="D42" s="258"/>
    </row>
    <row r="43" spans="1:9">
      <c r="A43" s="235"/>
      <c r="D43" s="262"/>
    </row>
    <row r="44" spans="1:9">
      <c r="D44" s="10" t="s">
        <v>285</v>
      </c>
      <c r="F44" s="38" t="s">
        <v>4116</v>
      </c>
    </row>
    <row r="45" spans="1:9">
      <c r="D45" s="256">
        <v>2016</v>
      </c>
      <c r="E45" s="40"/>
      <c r="F45" s="41" t="s">
        <v>286</v>
      </c>
    </row>
    <row r="46" spans="1:9">
      <c r="A46" s="235" t="s">
        <v>5297</v>
      </c>
      <c r="C46" s="235"/>
      <c r="D46" s="257">
        <f>SUM(D47:D58)</f>
        <v>43281</v>
      </c>
    </row>
    <row r="47" spans="1:9">
      <c r="A47" s="263">
        <v>1</v>
      </c>
      <c r="B47" s="235" t="s">
        <v>5298</v>
      </c>
      <c r="C47" s="1" t="s">
        <v>5299</v>
      </c>
      <c r="D47" s="7">
        <v>5043</v>
      </c>
      <c r="F47" s="235" t="s">
        <v>5288</v>
      </c>
      <c r="G47" s="1"/>
      <c r="I47" s="1"/>
    </row>
    <row r="48" spans="1:9">
      <c r="A48" s="263">
        <v>2</v>
      </c>
      <c r="B48" s="235" t="s">
        <v>888</v>
      </c>
      <c r="C48" s="1" t="s">
        <v>5300</v>
      </c>
      <c r="D48" s="7">
        <v>3092</v>
      </c>
      <c r="F48" s="235" t="s">
        <v>5288</v>
      </c>
      <c r="G48" s="1"/>
      <c r="I48" s="1"/>
    </row>
    <row r="49" spans="1:9">
      <c r="A49" s="263">
        <v>3</v>
      </c>
      <c r="B49" s="235" t="s">
        <v>5301</v>
      </c>
      <c r="C49" s="1" t="s">
        <v>5302</v>
      </c>
      <c r="D49" s="7">
        <v>3079</v>
      </c>
      <c r="F49" s="235" t="s">
        <v>5288</v>
      </c>
      <c r="G49" s="1"/>
      <c r="I49" s="1"/>
    </row>
    <row r="50" spans="1:9">
      <c r="A50" s="263">
        <v>4</v>
      </c>
      <c r="B50" s="235" t="s">
        <v>5303</v>
      </c>
      <c r="C50" s="1" t="s">
        <v>5304</v>
      </c>
      <c r="D50" s="7">
        <v>4230</v>
      </c>
      <c r="F50" s="235" t="s">
        <v>5288</v>
      </c>
      <c r="G50" s="1"/>
      <c r="I50" s="1"/>
    </row>
    <row r="51" spans="1:9">
      <c r="A51" s="263">
        <v>5</v>
      </c>
      <c r="B51" s="255" t="s">
        <v>5305</v>
      </c>
      <c r="C51" s="1" t="s">
        <v>5306</v>
      </c>
      <c r="D51" s="7">
        <v>4645</v>
      </c>
      <c r="F51" s="235" t="s">
        <v>5288</v>
      </c>
      <c r="G51" s="1"/>
      <c r="I51" s="1"/>
    </row>
    <row r="52" spans="1:9">
      <c r="A52" s="263">
        <v>6</v>
      </c>
      <c r="B52" s="235" t="s">
        <v>3901</v>
      </c>
      <c r="C52" s="1" t="s">
        <v>5307</v>
      </c>
      <c r="D52" s="7">
        <v>4969</v>
      </c>
      <c r="F52" s="235" t="s">
        <v>5288</v>
      </c>
      <c r="G52" s="1"/>
      <c r="I52" s="1"/>
    </row>
    <row r="53" spans="1:9">
      <c r="A53" s="263">
        <v>7</v>
      </c>
      <c r="B53" s="235" t="s">
        <v>5308</v>
      </c>
      <c r="C53" s="1" t="s">
        <v>5309</v>
      </c>
      <c r="D53" s="7">
        <v>2600</v>
      </c>
      <c r="F53" s="235" t="s">
        <v>5288</v>
      </c>
      <c r="G53" s="1"/>
      <c r="I53" s="1"/>
    </row>
    <row r="54" spans="1:9">
      <c r="A54" s="263">
        <v>8</v>
      </c>
      <c r="B54" s="235" t="s">
        <v>5310</v>
      </c>
      <c r="C54" s="1" t="s">
        <v>5311</v>
      </c>
      <c r="D54" s="7">
        <v>4872</v>
      </c>
      <c r="F54" s="235" t="s">
        <v>5288</v>
      </c>
      <c r="G54" s="1"/>
      <c r="I54" s="1"/>
    </row>
    <row r="55" spans="1:9">
      <c r="A55" s="263">
        <v>9</v>
      </c>
      <c r="B55" s="235" t="s">
        <v>5312</v>
      </c>
      <c r="C55" s="1" t="s">
        <v>5313</v>
      </c>
      <c r="D55" s="7">
        <v>3596</v>
      </c>
      <c r="F55" s="235" t="s">
        <v>5288</v>
      </c>
      <c r="G55" s="1"/>
      <c r="I55" s="1"/>
    </row>
    <row r="56" spans="1:9">
      <c r="A56" s="263">
        <v>10</v>
      </c>
      <c r="B56" s="235" t="s">
        <v>5314</v>
      </c>
      <c r="C56" s="1" t="s">
        <v>5315</v>
      </c>
      <c r="D56" s="7">
        <v>1439</v>
      </c>
      <c r="F56" s="235" t="s">
        <v>5288</v>
      </c>
      <c r="G56" s="1"/>
      <c r="I56" s="1"/>
    </row>
    <row r="57" spans="1:9">
      <c r="A57" s="263">
        <v>11</v>
      </c>
      <c r="B57" s="235" t="s">
        <v>5316</v>
      </c>
      <c r="C57" s="1" t="s">
        <v>5317</v>
      </c>
      <c r="D57" s="7">
        <v>2550</v>
      </c>
      <c r="F57" s="235" t="s">
        <v>5288</v>
      </c>
      <c r="G57" s="1"/>
      <c r="I57" s="1"/>
    </row>
    <row r="58" spans="1:9">
      <c r="A58" s="263">
        <v>12</v>
      </c>
      <c r="B58" s="235" t="s">
        <v>5318</v>
      </c>
      <c r="C58" s="1" t="s">
        <v>5319</v>
      </c>
      <c r="D58" s="7">
        <v>3166</v>
      </c>
      <c r="F58" s="235" t="s">
        <v>5288</v>
      </c>
      <c r="G58" s="1"/>
      <c r="I58" s="1"/>
    </row>
    <row r="60" spans="1:9">
      <c r="A60" s="235" t="s">
        <v>5320</v>
      </c>
      <c r="D60" s="257">
        <f t="shared" ref="D60" si="21">SUM(D47:D58)</f>
        <v>43281</v>
      </c>
    </row>
    <row r="61" spans="1:9">
      <c r="A61" s="235"/>
      <c r="B61" s="235"/>
      <c r="D61" s="264"/>
    </row>
    <row r="62" spans="1:9">
      <c r="A62" s="235" t="s">
        <v>5321</v>
      </c>
      <c r="B62" s="235"/>
      <c r="D62" s="264"/>
    </row>
    <row r="63" spans="1:9">
      <c r="A63" s="235"/>
      <c r="B63" s="235"/>
      <c r="D63" s="264"/>
    </row>
    <row r="64" spans="1:9">
      <c r="A64" s="235"/>
      <c r="B64" s="235"/>
      <c r="D64" s="264"/>
    </row>
    <row r="65" spans="1:9">
      <c r="D65" s="10" t="s">
        <v>285</v>
      </c>
      <c r="F65" s="38" t="s">
        <v>4116</v>
      </c>
    </row>
    <row r="66" spans="1:9">
      <c r="D66" s="256">
        <v>2016</v>
      </c>
      <c r="E66" s="40"/>
      <c r="F66" s="41" t="s">
        <v>286</v>
      </c>
    </row>
    <row r="67" spans="1:9">
      <c r="A67" s="235" t="s">
        <v>5322</v>
      </c>
      <c r="D67" s="257">
        <f t="shared" ref="D67" si="22">SUM(D68:D83)</f>
        <v>58392</v>
      </c>
    </row>
    <row r="68" spans="1:9">
      <c r="A68" s="263">
        <v>1</v>
      </c>
      <c r="B68" s="235" t="s">
        <v>5323</v>
      </c>
      <c r="C68" s="1" t="s">
        <v>5324</v>
      </c>
      <c r="D68" s="7">
        <v>4731</v>
      </c>
      <c r="F68" s="226" t="s">
        <v>4532</v>
      </c>
      <c r="G68" s="19"/>
      <c r="I68" s="1"/>
    </row>
    <row r="69" spans="1:9">
      <c r="A69" s="263">
        <v>2</v>
      </c>
      <c r="B69" s="235" t="s">
        <v>5325</v>
      </c>
      <c r="C69" s="1" t="s">
        <v>5326</v>
      </c>
      <c r="D69" s="7">
        <v>4624</v>
      </c>
      <c r="F69" s="226" t="s">
        <v>4532</v>
      </c>
      <c r="G69" s="19"/>
      <c r="I69" s="1"/>
    </row>
    <row r="70" spans="1:9">
      <c r="A70" s="263">
        <v>3</v>
      </c>
      <c r="B70" s="235" t="s">
        <v>5327</v>
      </c>
      <c r="C70" s="1" t="s">
        <v>5328</v>
      </c>
      <c r="D70" s="7">
        <v>3559</v>
      </c>
      <c r="F70" s="226" t="s">
        <v>4532</v>
      </c>
      <c r="G70" s="19"/>
      <c r="I70" s="1"/>
    </row>
    <row r="71" spans="1:9">
      <c r="A71" s="263">
        <v>4</v>
      </c>
      <c r="B71" s="235" t="s">
        <v>5329</v>
      </c>
      <c r="C71" s="1" t="s">
        <v>5330</v>
      </c>
      <c r="D71" s="7">
        <v>1936</v>
      </c>
      <c r="F71" s="226" t="s">
        <v>4532</v>
      </c>
      <c r="G71" s="19"/>
      <c r="I71" s="1"/>
    </row>
    <row r="72" spans="1:9">
      <c r="A72" s="263">
        <v>5</v>
      </c>
      <c r="B72" s="235" t="s">
        <v>5331</v>
      </c>
      <c r="C72" s="1" t="s">
        <v>5332</v>
      </c>
      <c r="D72" s="7">
        <v>5262</v>
      </c>
      <c r="F72" s="226" t="s">
        <v>4532</v>
      </c>
      <c r="G72" s="19"/>
      <c r="I72" s="1"/>
    </row>
    <row r="73" spans="1:9">
      <c r="A73" s="263">
        <v>6</v>
      </c>
      <c r="B73" s="235" t="s">
        <v>5333</v>
      </c>
      <c r="C73" s="1" t="s">
        <v>5334</v>
      </c>
      <c r="D73" s="7">
        <v>4120</v>
      </c>
      <c r="F73" s="226" t="s">
        <v>4532</v>
      </c>
      <c r="G73" s="19"/>
      <c r="I73" s="1"/>
    </row>
    <row r="74" spans="1:9">
      <c r="A74" s="263">
        <v>7</v>
      </c>
      <c r="B74" s="235" t="s">
        <v>5335</v>
      </c>
      <c r="C74" s="1" t="s">
        <v>5336</v>
      </c>
      <c r="D74" s="7">
        <v>3942</v>
      </c>
      <c r="F74" s="226" t="s">
        <v>4532</v>
      </c>
      <c r="G74" s="19"/>
      <c r="I74" s="1"/>
    </row>
    <row r="75" spans="1:9">
      <c r="A75" s="263">
        <v>8</v>
      </c>
      <c r="B75" s="235" t="s">
        <v>5337</v>
      </c>
      <c r="C75" s="1" t="s">
        <v>5338</v>
      </c>
      <c r="D75" s="7">
        <v>5046</v>
      </c>
      <c r="F75" s="226" t="s">
        <v>4532</v>
      </c>
      <c r="G75" s="19"/>
      <c r="I75" s="1"/>
    </row>
    <row r="76" spans="1:9">
      <c r="A76" s="263">
        <v>9</v>
      </c>
      <c r="B76" s="235" t="s">
        <v>5339</v>
      </c>
      <c r="C76" s="1" t="s">
        <v>5340</v>
      </c>
      <c r="D76" s="7">
        <v>3722</v>
      </c>
      <c r="F76" s="226" t="s">
        <v>4532</v>
      </c>
      <c r="G76" s="19"/>
      <c r="I76" s="1"/>
    </row>
    <row r="77" spans="1:9">
      <c r="A77" s="263">
        <v>10</v>
      </c>
      <c r="B77" s="235" t="s">
        <v>5341</v>
      </c>
      <c r="C77" s="1" t="s">
        <v>5342</v>
      </c>
      <c r="D77" s="7">
        <v>1905</v>
      </c>
      <c r="F77" s="226" t="s">
        <v>4532</v>
      </c>
      <c r="G77" s="19"/>
      <c r="I77" s="1"/>
    </row>
    <row r="78" spans="1:9">
      <c r="A78" s="263">
        <v>11</v>
      </c>
      <c r="B78" s="235" t="s">
        <v>5343</v>
      </c>
      <c r="C78" s="1" t="s">
        <v>5344</v>
      </c>
      <c r="D78" s="7">
        <v>3027</v>
      </c>
      <c r="F78" s="226" t="s">
        <v>4532</v>
      </c>
      <c r="G78" s="19"/>
      <c r="I78" s="1"/>
    </row>
    <row r="79" spans="1:9">
      <c r="A79" s="263">
        <v>12</v>
      </c>
      <c r="B79" s="235" t="s">
        <v>5345</v>
      </c>
      <c r="C79" s="1" t="s">
        <v>5346</v>
      </c>
      <c r="D79" s="7">
        <v>1594</v>
      </c>
      <c r="F79" s="226" t="s">
        <v>4532</v>
      </c>
      <c r="G79" s="19"/>
      <c r="I79" s="1"/>
    </row>
    <row r="80" spans="1:9">
      <c r="A80" s="263">
        <v>13</v>
      </c>
      <c r="B80" s="235" t="s">
        <v>5347</v>
      </c>
      <c r="C80" s="1" t="s">
        <v>5348</v>
      </c>
      <c r="D80" s="7">
        <v>4947</v>
      </c>
      <c r="F80" s="235" t="s">
        <v>5295</v>
      </c>
      <c r="G80" s="19"/>
      <c r="I80" s="1"/>
    </row>
    <row r="81" spans="1:9">
      <c r="A81" s="263">
        <v>14</v>
      </c>
      <c r="B81" s="235" t="s">
        <v>5349</v>
      </c>
      <c r="C81" s="1" t="s">
        <v>5350</v>
      </c>
      <c r="D81" s="7">
        <v>3253</v>
      </c>
      <c r="F81" s="226" t="s">
        <v>4532</v>
      </c>
      <c r="G81" s="19"/>
      <c r="I81" s="1"/>
    </row>
    <row r="82" spans="1:9">
      <c r="A82" s="263">
        <v>15</v>
      </c>
      <c r="B82" s="235" t="s">
        <v>5351</v>
      </c>
      <c r="C82" s="1" t="s">
        <v>5352</v>
      </c>
      <c r="D82" s="7">
        <v>5201</v>
      </c>
      <c r="F82" s="235" t="s">
        <v>5295</v>
      </c>
      <c r="G82" s="19"/>
      <c r="I82" s="1"/>
    </row>
    <row r="83" spans="1:9">
      <c r="A83" s="263">
        <v>16</v>
      </c>
      <c r="B83" s="235" t="s">
        <v>5353</v>
      </c>
      <c r="C83" s="1" t="s">
        <v>5354</v>
      </c>
      <c r="D83" s="8">
        <v>1523</v>
      </c>
      <c r="F83" s="226" t="s">
        <v>4532</v>
      </c>
      <c r="G83" s="20"/>
      <c r="I83" s="1"/>
    </row>
    <row r="85" spans="1:9">
      <c r="A85" s="226" t="s">
        <v>4773</v>
      </c>
      <c r="D85" s="257">
        <f>SUM(D68:D79)+D81+D83</f>
        <v>48244</v>
      </c>
    </row>
    <row r="86" spans="1:9">
      <c r="A86" s="235" t="s">
        <v>5355</v>
      </c>
      <c r="D86" s="257">
        <f>D80+D82</f>
        <v>10148</v>
      </c>
    </row>
    <row r="87" spans="1:9">
      <c r="A87" s="235"/>
      <c r="B87" s="235"/>
      <c r="C87" s="235"/>
      <c r="D87" s="264"/>
    </row>
    <row r="88" spans="1:9">
      <c r="A88" s="235" t="s">
        <v>5356</v>
      </c>
      <c r="B88" s="235"/>
      <c r="C88" s="235"/>
      <c r="D88" s="264"/>
    </row>
    <row r="89" spans="1:9">
      <c r="A89" s="235"/>
      <c r="B89" s="235"/>
      <c r="D89" s="264"/>
    </row>
    <row r="90" spans="1:9">
      <c r="A90" s="235"/>
      <c r="B90" s="235"/>
      <c r="D90" s="264"/>
    </row>
    <row r="91" spans="1:9">
      <c r="D91" s="10" t="s">
        <v>285</v>
      </c>
      <c r="F91" s="38" t="s">
        <v>4116</v>
      </c>
    </row>
    <row r="92" spans="1:9">
      <c r="D92" s="256">
        <v>2016</v>
      </c>
      <c r="E92" s="40"/>
      <c r="F92" s="41" t="s">
        <v>286</v>
      </c>
    </row>
    <row r="93" spans="1:9">
      <c r="A93" s="235" t="s">
        <v>5357</v>
      </c>
      <c r="D93" s="257">
        <f>SUM(D94:D115)</f>
        <v>64731</v>
      </c>
    </row>
    <row r="94" spans="1:9">
      <c r="A94" s="263">
        <v>1</v>
      </c>
      <c r="B94" s="235" t="s">
        <v>5358</v>
      </c>
      <c r="C94" s="1" t="s">
        <v>5359</v>
      </c>
      <c r="D94" s="7">
        <v>1568</v>
      </c>
      <c r="F94" s="235" t="s">
        <v>5288</v>
      </c>
      <c r="G94" s="1"/>
      <c r="I94" s="1"/>
    </row>
    <row r="95" spans="1:9">
      <c r="A95" s="263">
        <v>2</v>
      </c>
      <c r="B95" s="235" t="s">
        <v>5360</v>
      </c>
      <c r="C95" s="1" t="s">
        <v>5361</v>
      </c>
      <c r="D95" s="7">
        <v>1626</v>
      </c>
      <c r="F95" s="235" t="s">
        <v>5288</v>
      </c>
      <c r="G95" s="1"/>
      <c r="I95" s="1"/>
    </row>
    <row r="96" spans="1:9">
      <c r="A96" s="263">
        <v>3</v>
      </c>
      <c r="B96" s="235" t="s">
        <v>5362</v>
      </c>
      <c r="C96" s="265" t="s">
        <v>5363</v>
      </c>
      <c r="D96" s="266">
        <v>2940</v>
      </c>
      <c r="F96" s="235" t="s">
        <v>5296</v>
      </c>
      <c r="G96" s="1"/>
      <c r="I96" s="1"/>
    </row>
    <row r="97" spans="1:9">
      <c r="A97" s="263">
        <v>4</v>
      </c>
      <c r="B97" s="235" t="s">
        <v>5364</v>
      </c>
      <c r="C97" s="265" t="s">
        <v>5365</v>
      </c>
      <c r="D97" s="8">
        <v>3463</v>
      </c>
      <c r="F97" s="235" t="s">
        <v>5296</v>
      </c>
      <c r="G97" s="1"/>
      <c r="I97" s="1"/>
    </row>
    <row r="98" spans="1:9">
      <c r="A98" s="263">
        <v>5</v>
      </c>
      <c r="B98" s="235" t="s">
        <v>5366</v>
      </c>
      <c r="C98" s="265" t="s">
        <v>5367</v>
      </c>
      <c r="D98" s="7">
        <v>3119</v>
      </c>
      <c r="F98" s="235" t="s">
        <v>5296</v>
      </c>
      <c r="G98" s="1"/>
      <c r="I98" s="1"/>
    </row>
    <row r="99" spans="1:9">
      <c r="A99" s="263">
        <v>6</v>
      </c>
      <c r="B99" s="235" t="s">
        <v>5368</v>
      </c>
      <c r="C99" s="265" t="s">
        <v>5369</v>
      </c>
      <c r="D99" s="7">
        <v>3212</v>
      </c>
      <c r="F99" s="235" t="s">
        <v>5296</v>
      </c>
      <c r="G99" s="1"/>
      <c r="I99" s="1"/>
    </row>
    <row r="100" spans="1:9">
      <c r="A100" s="263">
        <v>7</v>
      </c>
      <c r="B100" s="255" t="s">
        <v>5370</v>
      </c>
      <c r="C100" s="1" t="s">
        <v>5371</v>
      </c>
      <c r="D100" s="7">
        <v>1710</v>
      </c>
      <c r="F100" s="235" t="s">
        <v>5288</v>
      </c>
      <c r="G100" s="1"/>
      <c r="I100" s="1"/>
    </row>
    <row r="101" spans="1:9">
      <c r="A101" s="263">
        <v>8</v>
      </c>
      <c r="B101" s="235" t="s">
        <v>5372</v>
      </c>
      <c r="C101" s="1" t="s">
        <v>5373</v>
      </c>
      <c r="D101" s="7">
        <v>1613</v>
      </c>
      <c r="F101" s="235" t="s">
        <v>5288</v>
      </c>
      <c r="G101" s="1"/>
      <c r="I101" s="1"/>
    </row>
    <row r="102" spans="1:9">
      <c r="A102" s="263">
        <v>9</v>
      </c>
      <c r="B102" s="235" t="s">
        <v>5374</v>
      </c>
      <c r="C102" s="1" t="s">
        <v>5375</v>
      </c>
      <c r="D102" s="7">
        <v>1573</v>
      </c>
      <c r="F102" s="235" t="s">
        <v>5288</v>
      </c>
      <c r="G102" s="1"/>
      <c r="I102" s="1"/>
    </row>
    <row r="103" spans="1:9">
      <c r="A103" s="263">
        <v>10</v>
      </c>
      <c r="B103" s="235" t="s">
        <v>5376</v>
      </c>
      <c r="C103" s="1" t="s">
        <v>5377</v>
      </c>
      <c r="D103" s="7">
        <v>4540</v>
      </c>
      <c r="F103" s="235" t="s">
        <v>5288</v>
      </c>
      <c r="G103" s="1"/>
      <c r="I103" s="1"/>
    </row>
    <row r="104" spans="1:9">
      <c r="A104" s="263">
        <v>11</v>
      </c>
      <c r="B104" s="255" t="s">
        <v>5378</v>
      </c>
      <c r="C104" s="1" t="s">
        <v>5379</v>
      </c>
      <c r="D104" s="7">
        <v>1736</v>
      </c>
      <c r="F104" s="235" t="s">
        <v>5288</v>
      </c>
      <c r="G104" s="1"/>
      <c r="I104" s="1"/>
    </row>
    <row r="105" spans="1:9">
      <c r="A105" s="263">
        <v>12</v>
      </c>
      <c r="B105" s="235" t="s">
        <v>5380</v>
      </c>
      <c r="C105" s="265" t="s">
        <v>5381</v>
      </c>
      <c r="D105" s="7">
        <v>3328</v>
      </c>
      <c r="F105" s="235" t="s">
        <v>5288</v>
      </c>
      <c r="G105" s="1"/>
      <c r="I105" s="1"/>
    </row>
    <row r="106" spans="1:9">
      <c r="A106" s="263">
        <v>13</v>
      </c>
      <c r="B106" s="235" t="s">
        <v>5382</v>
      </c>
      <c r="C106" s="265" t="s">
        <v>5383</v>
      </c>
      <c r="D106" s="7">
        <v>3026</v>
      </c>
      <c r="F106" s="235" t="s">
        <v>5288</v>
      </c>
      <c r="G106" s="1"/>
      <c r="I106" s="1"/>
    </row>
    <row r="107" spans="1:9">
      <c r="A107" s="263">
        <v>14</v>
      </c>
      <c r="B107" s="235" t="s">
        <v>5384</v>
      </c>
      <c r="C107" s="265" t="s">
        <v>5385</v>
      </c>
      <c r="D107" s="8">
        <v>3581</v>
      </c>
      <c r="F107" s="235" t="s">
        <v>5296</v>
      </c>
      <c r="G107" s="1"/>
      <c r="I107" s="1"/>
    </row>
    <row r="108" spans="1:9">
      <c r="A108" s="263">
        <v>15</v>
      </c>
      <c r="B108" s="235" t="s">
        <v>5386</v>
      </c>
      <c r="C108" s="265" t="s">
        <v>5387</v>
      </c>
      <c r="D108" s="8">
        <v>5306</v>
      </c>
      <c r="F108" s="235" t="s">
        <v>5296</v>
      </c>
      <c r="G108" s="1"/>
      <c r="I108" s="1"/>
    </row>
    <row r="109" spans="1:9">
      <c r="A109" s="263">
        <v>16</v>
      </c>
      <c r="B109" s="235" t="s">
        <v>5388</v>
      </c>
      <c r="C109" s="265" t="s">
        <v>5389</v>
      </c>
      <c r="D109" s="8">
        <v>4834</v>
      </c>
      <c r="F109" s="235" t="s">
        <v>5296</v>
      </c>
      <c r="G109" s="1"/>
      <c r="I109" s="1"/>
    </row>
    <row r="110" spans="1:9">
      <c r="A110" s="263">
        <v>17</v>
      </c>
      <c r="B110" s="235" t="s">
        <v>5390</v>
      </c>
      <c r="C110" s="265" t="s">
        <v>5391</v>
      </c>
      <c r="D110" s="8">
        <v>3100</v>
      </c>
      <c r="F110" s="235" t="s">
        <v>5296</v>
      </c>
      <c r="G110" s="1"/>
      <c r="I110" s="1"/>
    </row>
    <row r="111" spans="1:9">
      <c r="A111" s="263">
        <v>18</v>
      </c>
      <c r="B111" s="235" t="s">
        <v>5392</v>
      </c>
      <c r="C111" s="1" t="s">
        <v>5393</v>
      </c>
      <c r="D111" s="8">
        <v>4739</v>
      </c>
      <c r="F111" s="235" t="s">
        <v>5296</v>
      </c>
      <c r="G111" s="1"/>
      <c r="I111" s="1"/>
    </row>
    <row r="112" spans="1:9">
      <c r="A112" s="263">
        <v>19</v>
      </c>
      <c r="B112" s="235" t="s">
        <v>5394</v>
      </c>
      <c r="C112" s="265" t="s">
        <v>5395</v>
      </c>
      <c r="D112" s="7">
        <v>1675</v>
      </c>
      <c r="F112" s="235" t="s">
        <v>5288</v>
      </c>
      <c r="G112" s="1"/>
      <c r="I112" s="1"/>
    </row>
    <row r="113" spans="1:9">
      <c r="A113" s="263">
        <v>20</v>
      </c>
      <c r="B113" s="235" t="s">
        <v>5396</v>
      </c>
      <c r="C113" s="265" t="s">
        <v>5397</v>
      </c>
      <c r="D113" s="7">
        <v>3372</v>
      </c>
      <c r="F113" s="235" t="s">
        <v>5288</v>
      </c>
      <c r="G113" s="1"/>
      <c r="I113" s="1"/>
    </row>
    <row r="114" spans="1:9">
      <c r="A114" s="263">
        <v>21</v>
      </c>
      <c r="B114" s="235" t="s">
        <v>5398</v>
      </c>
      <c r="C114" s="265" t="s">
        <v>5399</v>
      </c>
      <c r="D114" s="7">
        <v>2999</v>
      </c>
      <c r="F114" s="235" t="s">
        <v>5288</v>
      </c>
      <c r="G114" s="1"/>
      <c r="I114" s="1"/>
    </row>
    <row r="115" spans="1:9">
      <c r="A115" s="263">
        <v>22</v>
      </c>
      <c r="B115" s="235" t="s">
        <v>5351</v>
      </c>
      <c r="C115" s="1" t="s">
        <v>5400</v>
      </c>
      <c r="D115" s="7">
        <v>1671</v>
      </c>
      <c r="F115" s="235" t="s">
        <v>5288</v>
      </c>
      <c r="G115" s="1"/>
      <c r="I115" s="1"/>
    </row>
    <row r="117" spans="1:9">
      <c r="A117" s="235" t="s">
        <v>5320</v>
      </c>
      <c r="D117" s="257">
        <f>D94+D95+SUM(D100:D106)+SUM(D112:D115)</f>
        <v>30437</v>
      </c>
    </row>
    <row r="118" spans="1:9">
      <c r="A118" s="235" t="s">
        <v>5401</v>
      </c>
      <c r="D118" s="257">
        <f>SUM(D96:D99)+SUM(D107:D111)</f>
        <v>34294</v>
      </c>
    </row>
    <row r="119" spans="1:9">
      <c r="A119" s="235"/>
      <c r="B119" s="235"/>
      <c r="D119" s="264"/>
    </row>
    <row r="120" spans="1:9">
      <c r="A120" s="235" t="s">
        <v>5402</v>
      </c>
      <c r="B120" s="235"/>
      <c r="D120" s="264"/>
    </row>
    <row r="121" spans="1:9">
      <c r="A121" s="235" t="s">
        <v>5403</v>
      </c>
      <c r="B121" s="235"/>
      <c r="D121" s="264"/>
    </row>
    <row r="122" spans="1:9">
      <c r="A122" s="235"/>
      <c r="B122" s="235"/>
      <c r="D122" s="264"/>
    </row>
    <row r="123" spans="1:9">
      <c r="A123" s="235"/>
      <c r="B123" s="235"/>
      <c r="D123" s="264"/>
    </row>
    <row r="124" spans="1:9">
      <c r="D124" s="10" t="s">
        <v>285</v>
      </c>
      <c r="F124" s="38" t="s">
        <v>4116</v>
      </c>
    </row>
    <row r="125" spans="1:9">
      <c r="D125" s="256">
        <v>2016</v>
      </c>
      <c r="E125" s="40"/>
      <c r="F125" s="41" t="s">
        <v>286</v>
      </c>
    </row>
    <row r="126" spans="1:9">
      <c r="A126" s="235" t="s">
        <v>5404</v>
      </c>
      <c r="D126" s="257">
        <f t="shared" ref="D126" si="23">SUM(D127:D143)</f>
        <v>68279</v>
      </c>
    </row>
    <row r="127" spans="1:9">
      <c r="A127" s="263">
        <v>1</v>
      </c>
      <c r="B127" s="235" t="s">
        <v>601</v>
      </c>
      <c r="C127" s="1" t="s">
        <v>5405</v>
      </c>
      <c r="D127" s="7">
        <v>5060</v>
      </c>
      <c r="F127" s="235" t="s">
        <v>5290</v>
      </c>
      <c r="G127" s="1"/>
      <c r="I127" s="1"/>
    </row>
    <row r="128" spans="1:9">
      <c r="A128" s="263">
        <v>2</v>
      </c>
      <c r="B128" s="235" t="s">
        <v>5406</v>
      </c>
      <c r="C128" s="1" t="s">
        <v>5407</v>
      </c>
      <c r="D128" s="7">
        <v>3534</v>
      </c>
      <c r="F128" s="235" t="s">
        <v>5290</v>
      </c>
      <c r="G128" s="1"/>
      <c r="I128" s="1"/>
    </row>
    <row r="129" spans="1:9">
      <c r="A129" s="263">
        <v>3</v>
      </c>
      <c r="B129" s="235" t="s">
        <v>5408</v>
      </c>
      <c r="C129" s="1" t="s">
        <v>5409</v>
      </c>
      <c r="D129" s="7">
        <v>4145</v>
      </c>
      <c r="F129" s="235" t="s">
        <v>5290</v>
      </c>
      <c r="G129" s="1"/>
      <c r="I129" s="1"/>
    </row>
    <row r="130" spans="1:9">
      <c r="A130" s="263">
        <v>4</v>
      </c>
      <c r="B130" s="235" t="s">
        <v>5410</v>
      </c>
      <c r="C130" s="1" t="s">
        <v>5411</v>
      </c>
      <c r="D130" s="7">
        <v>3517</v>
      </c>
      <c r="F130" s="235" t="s">
        <v>5290</v>
      </c>
      <c r="G130" s="1"/>
      <c r="I130" s="1"/>
    </row>
    <row r="131" spans="1:9">
      <c r="A131" s="263">
        <v>5</v>
      </c>
      <c r="B131" s="235" t="s">
        <v>5412</v>
      </c>
      <c r="C131" s="1" t="s">
        <v>5413</v>
      </c>
      <c r="D131" s="7">
        <v>6329</v>
      </c>
      <c r="F131" s="235" t="s">
        <v>5290</v>
      </c>
      <c r="G131" s="1"/>
      <c r="I131" s="1"/>
    </row>
    <row r="132" spans="1:9">
      <c r="A132" s="263">
        <v>6</v>
      </c>
      <c r="B132" s="235" t="s">
        <v>5414</v>
      </c>
      <c r="C132" s="1" t="s">
        <v>5415</v>
      </c>
      <c r="D132" s="7">
        <v>4230</v>
      </c>
      <c r="F132" s="235" t="s">
        <v>5290</v>
      </c>
      <c r="G132" s="1"/>
      <c r="I132" s="1"/>
    </row>
    <row r="133" spans="1:9">
      <c r="A133" s="263">
        <v>7</v>
      </c>
      <c r="B133" s="235" t="s">
        <v>5416</v>
      </c>
      <c r="C133" s="1" t="s">
        <v>5417</v>
      </c>
      <c r="D133" s="7">
        <v>3865</v>
      </c>
      <c r="F133" s="235" t="s">
        <v>5290</v>
      </c>
      <c r="G133" s="1"/>
      <c r="I133" s="1"/>
    </row>
    <row r="134" spans="1:9">
      <c r="A134" s="263">
        <v>8</v>
      </c>
      <c r="B134" s="255" t="s">
        <v>5418</v>
      </c>
      <c r="C134" s="1" t="s">
        <v>5419</v>
      </c>
      <c r="D134" s="7">
        <v>5376</v>
      </c>
      <c r="F134" s="235" t="s">
        <v>5290</v>
      </c>
      <c r="G134" s="1"/>
      <c r="I134" s="1"/>
    </row>
    <row r="135" spans="1:9">
      <c r="A135" s="263">
        <v>9</v>
      </c>
      <c r="B135" s="235" t="s">
        <v>3464</v>
      </c>
      <c r="C135" s="1" t="s">
        <v>5420</v>
      </c>
      <c r="D135" s="7">
        <v>1785</v>
      </c>
      <c r="F135" s="235" t="s">
        <v>5290</v>
      </c>
      <c r="G135" s="1"/>
      <c r="I135" s="1"/>
    </row>
    <row r="136" spans="1:9">
      <c r="A136" s="263">
        <v>10</v>
      </c>
      <c r="B136" s="235" t="s">
        <v>5421</v>
      </c>
      <c r="C136" s="1" t="s">
        <v>5422</v>
      </c>
      <c r="D136" s="7">
        <v>3830</v>
      </c>
      <c r="F136" s="235" t="s">
        <v>5290</v>
      </c>
      <c r="G136" s="1"/>
      <c r="I136" s="1"/>
    </row>
    <row r="137" spans="1:9">
      <c r="A137" s="263">
        <v>11</v>
      </c>
      <c r="B137" s="235" t="s">
        <v>5423</v>
      </c>
      <c r="C137" s="1" t="s">
        <v>5424</v>
      </c>
      <c r="D137" s="7">
        <v>1972</v>
      </c>
      <c r="F137" s="235" t="s">
        <v>5290</v>
      </c>
      <c r="G137" s="1"/>
      <c r="I137" s="1"/>
    </row>
    <row r="138" spans="1:9">
      <c r="A138" s="263">
        <v>12</v>
      </c>
      <c r="B138" s="235" t="s">
        <v>5425</v>
      </c>
      <c r="C138" s="1" t="s">
        <v>5426</v>
      </c>
      <c r="D138" s="7">
        <v>5939</v>
      </c>
      <c r="F138" s="235" t="s">
        <v>5290</v>
      </c>
      <c r="G138" s="1"/>
      <c r="I138" s="1"/>
    </row>
    <row r="139" spans="1:9">
      <c r="A139" s="263">
        <v>13</v>
      </c>
      <c r="B139" s="235" t="s">
        <v>5427</v>
      </c>
      <c r="C139" s="1" t="s">
        <v>5428</v>
      </c>
      <c r="D139" s="7">
        <v>5137</v>
      </c>
      <c r="F139" s="235" t="s">
        <v>5290</v>
      </c>
      <c r="G139" s="1"/>
      <c r="I139" s="1"/>
    </row>
    <row r="140" spans="1:9">
      <c r="A140" s="263">
        <v>14</v>
      </c>
      <c r="B140" s="235" t="s">
        <v>1026</v>
      </c>
      <c r="C140" s="1" t="s">
        <v>5429</v>
      </c>
      <c r="D140" s="7">
        <v>3478</v>
      </c>
      <c r="F140" s="235" t="s">
        <v>5290</v>
      </c>
      <c r="G140" s="1"/>
      <c r="I140" s="1"/>
    </row>
    <row r="141" spans="1:9">
      <c r="A141" s="263">
        <v>15</v>
      </c>
      <c r="B141" s="235" t="s">
        <v>913</v>
      </c>
      <c r="C141" s="1" t="s">
        <v>5430</v>
      </c>
      <c r="D141" s="7">
        <v>4519</v>
      </c>
      <c r="F141" s="235" t="s">
        <v>5290</v>
      </c>
      <c r="G141" s="1"/>
      <c r="I141" s="1"/>
    </row>
    <row r="142" spans="1:9">
      <c r="A142" s="263">
        <v>16</v>
      </c>
      <c r="B142" s="235" t="s">
        <v>5431</v>
      </c>
      <c r="C142" s="1" t="s">
        <v>5432</v>
      </c>
      <c r="D142" s="8">
        <v>2174</v>
      </c>
      <c r="F142" s="235" t="s">
        <v>5290</v>
      </c>
      <c r="G142" s="1"/>
      <c r="I142" s="1"/>
    </row>
    <row r="143" spans="1:9">
      <c r="A143" s="263">
        <v>17</v>
      </c>
      <c r="B143" s="235" t="s">
        <v>5433</v>
      </c>
      <c r="C143" s="1" t="s">
        <v>5434</v>
      </c>
      <c r="D143" s="8">
        <v>3389</v>
      </c>
      <c r="F143" s="235" t="s">
        <v>5290</v>
      </c>
      <c r="G143" s="1"/>
      <c r="I143" s="1"/>
    </row>
    <row r="144" spans="1:9">
      <c r="C144" s="235"/>
      <c r="D144" s="257"/>
      <c r="F144" s="235"/>
    </row>
    <row r="145" spans="1:9">
      <c r="A145" s="235" t="s">
        <v>5435</v>
      </c>
      <c r="C145" s="235"/>
      <c r="D145" s="257">
        <f t="shared" ref="D145" si="24">SUM(D127:D143)</f>
        <v>68279</v>
      </c>
      <c r="F145" s="235"/>
    </row>
    <row r="146" spans="1:9">
      <c r="A146" s="235"/>
      <c r="B146" s="235"/>
      <c r="C146" s="235"/>
      <c r="D146" s="257"/>
      <c r="F146" s="235"/>
    </row>
    <row r="147" spans="1:9">
      <c r="A147" s="235" t="s">
        <v>5436</v>
      </c>
      <c r="B147" s="235"/>
      <c r="C147" s="235"/>
      <c r="D147" s="257"/>
      <c r="F147" s="235"/>
    </row>
    <row r="148" spans="1:9">
      <c r="A148" s="235" t="s">
        <v>5437</v>
      </c>
      <c r="B148" s="235"/>
      <c r="C148" s="235"/>
      <c r="D148" s="257"/>
      <c r="F148" s="235"/>
    </row>
    <row r="149" spans="1:9">
      <c r="A149" s="235"/>
      <c r="B149" s="235"/>
      <c r="D149" s="264"/>
    </row>
    <row r="150" spans="1:9">
      <c r="A150" s="235"/>
      <c r="B150" s="235"/>
      <c r="D150" s="264"/>
    </row>
    <row r="151" spans="1:9">
      <c r="D151" s="10" t="s">
        <v>285</v>
      </c>
      <c r="F151" s="38" t="s">
        <v>4116</v>
      </c>
    </row>
    <row r="152" spans="1:9">
      <c r="D152" s="256">
        <v>2016</v>
      </c>
      <c r="E152" s="40"/>
      <c r="F152" s="41" t="s">
        <v>286</v>
      </c>
    </row>
    <row r="153" spans="1:9">
      <c r="A153" s="235" t="s">
        <v>5438</v>
      </c>
      <c r="D153" s="257">
        <f>SUM(D154:D186)</f>
        <v>137787</v>
      </c>
    </row>
    <row r="154" spans="1:9">
      <c r="A154" s="263">
        <v>1</v>
      </c>
      <c r="B154" s="235" t="s">
        <v>5439</v>
      </c>
      <c r="C154" s="267" t="s">
        <v>5440</v>
      </c>
      <c r="D154" s="7">
        <v>5876</v>
      </c>
      <c r="F154" s="235" t="s">
        <v>5291</v>
      </c>
      <c r="G154" s="1"/>
      <c r="I154" s="1"/>
    </row>
    <row r="155" spans="1:9">
      <c r="A155" s="263">
        <v>2</v>
      </c>
      <c r="B155" s="235" t="s">
        <v>5441</v>
      </c>
      <c r="C155" s="267" t="s">
        <v>5442</v>
      </c>
      <c r="D155" s="8">
        <v>6024</v>
      </c>
      <c r="F155" s="235" t="s">
        <v>5291</v>
      </c>
      <c r="G155" s="1"/>
      <c r="I155" s="1"/>
    </row>
    <row r="156" spans="1:9">
      <c r="A156" s="263">
        <v>3</v>
      </c>
      <c r="B156" s="235" t="s">
        <v>5443</v>
      </c>
      <c r="C156" s="267" t="s">
        <v>5444</v>
      </c>
      <c r="D156" s="7">
        <v>3262</v>
      </c>
      <c r="F156" s="235" t="s">
        <v>5291</v>
      </c>
      <c r="G156" s="1"/>
      <c r="I156" s="1"/>
    </row>
    <row r="157" spans="1:9">
      <c r="A157" s="263">
        <v>4</v>
      </c>
      <c r="B157" s="235" t="s">
        <v>2645</v>
      </c>
      <c r="C157" s="267" t="s">
        <v>5445</v>
      </c>
      <c r="D157" s="7">
        <v>3167</v>
      </c>
      <c r="F157" s="235" t="s">
        <v>5291</v>
      </c>
      <c r="G157" s="1"/>
      <c r="I157" s="1"/>
    </row>
    <row r="158" spans="1:9">
      <c r="A158" s="263">
        <v>5</v>
      </c>
      <c r="B158" s="235" t="s">
        <v>883</v>
      </c>
      <c r="C158" s="267" t="s">
        <v>5446</v>
      </c>
      <c r="D158" s="8">
        <v>6670</v>
      </c>
      <c r="F158" s="235" t="s">
        <v>5293</v>
      </c>
      <c r="G158" s="1"/>
      <c r="I158" s="1"/>
    </row>
    <row r="159" spans="1:9">
      <c r="A159" s="263">
        <v>6</v>
      </c>
      <c r="B159" s="235" t="s">
        <v>5447</v>
      </c>
      <c r="C159" s="267" t="s">
        <v>5448</v>
      </c>
      <c r="D159" s="8">
        <v>8406</v>
      </c>
      <c r="F159" s="235" t="s">
        <v>5293</v>
      </c>
      <c r="G159" s="1"/>
      <c r="I159" s="1"/>
    </row>
    <row r="160" spans="1:9">
      <c r="A160" s="263">
        <v>7</v>
      </c>
      <c r="B160" s="255" t="s">
        <v>5449</v>
      </c>
      <c r="C160" s="267" t="s">
        <v>5450</v>
      </c>
      <c r="D160" s="8">
        <v>7180</v>
      </c>
      <c r="F160" s="235" t="s">
        <v>5293</v>
      </c>
      <c r="G160" s="1"/>
      <c r="I160" s="1"/>
    </row>
    <row r="161" spans="1:9">
      <c r="A161" s="263">
        <v>8</v>
      </c>
      <c r="B161" s="255" t="s">
        <v>5451</v>
      </c>
      <c r="C161" s="267" t="s">
        <v>5452</v>
      </c>
      <c r="D161" s="7">
        <v>3037</v>
      </c>
      <c r="F161" s="235" t="s">
        <v>5291</v>
      </c>
      <c r="G161" s="1"/>
      <c r="I161" s="1"/>
    </row>
    <row r="162" spans="1:9">
      <c r="A162" s="263">
        <v>9</v>
      </c>
      <c r="B162" s="255" t="s">
        <v>5453</v>
      </c>
      <c r="C162" s="267" t="s">
        <v>5454</v>
      </c>
      <c r="D162" s="7">
        <v>3267</v>
      </c>
      <c r="F162" s="235" t="s">
        <v>5291</v>
      </c>
      <c r="G162" s="1"/>
      <c r="I162" s="1"/>
    </row>
    <row r="163" spans="1:9">
      <c r="A163" s="263">
        <v>10</v>
      </c>
      <c r="B163" s="235" t="s">
        <v>5455</v>
      </c>
      <c r="C163" s="267" t="s">
        <v>5456</v>
      </c>
      <c r="D163" s="8">
        <v>2809</v>
      </c>
      <c r="F163" s="235" t="s">
        <v>5293</v>
      </c>
      <c r="G163" s="1"/>
      <c r="I163" s="1"/>
    </row>
    <row r="164" spans="1:9">
      <c r="A164" s="263">
        <v>11</v>
      </c>
      <c r="B164" s="235" t="s">
        <v>5457</v>
      </c>
      <c r="C164" s="267" t="s">
        <v>5458</v>
      </c>
      <c r="D164" s="7">
        <v>3453</v>
      </c>
      <c r="F164" s="235" t="s">
        <v>5291</v>
      </c>
      <c r="G164" s="1"/>
      <c r="I164" s="1"/>
    </row>
    <row r="165" spans="1:9">
      <c r="A165" s="263">
        <v>12</v>
      </c>
      <c r="B165" s="235" t="s">
        <v>5459</v>
      </c>
      <c r="C165" s="267" t="s">
        <v>5460</v>
      </c>
      <c r="D165" s="7">
        <v>3546</v>
      </c>
      <c r="F165" s="235" t="s">
        <v>5291</v>
      </c>
      <c r="G165" s="1"/>
      <c r="I165" s="1"/>
    </row>
    <row r="166" spans="1:9">
      <c r="A166" s="263">
        <v>13</v>
      </c>
      <c r="B166" s="235" t="s">
        <v>5461</v>
      </c>
      <c r="C166" s="267" t="s">
        <v>5462</v>
      </c>
      <c r="D166" s="8">
        <v>7771</v>
      </c>
      <c r="F166" s="235" t="s">
        <v>5293</v>
      </c>
      <c r="G166" s="1"/>
      <c r="I166" s="1"/>
    </row>
    <row r="167" spans="1:9">
      <c r="A167" s="263">
        <v>14</v>
      </c>
      <c r="B167" s="235" t="s">
        <v>5463</v>
      </c>
      <c r="C167" s="267" t="s">
        <v>5464</v>
      </c>
      <c r="D167" s="8">
        <v>7395</v>
      </c>
      <c r="F167" s="235" t="s">
        <v>5293</v>
      </c>
      <c r="G167" s="1"/>
      <c r="I167" s="1"/>
    </row>
    <row r="168" spans="1:9">
      <c r="A168" s="263">
        <v>15</v>
      </c>
      <c r="B168" s="235" t="s">
        <v>5465</v>
      </c>
      <c r="C168" s="267" t="s">
        <v>5466</v>
      </c>
      <c r="D168" s="7">
        <v>2065</v>
      </c>
      <c r="F168" s="235" t="s">
        <v>5291</v>
      </c>
      <c r="G168" s="1"/>
      <c r="I168" s="1"/>
    </row>
    <row r="169" spans="1:9">
      <c r="A169" s="263">
        <v>16</v>
      </c>
      <c r="B169" s="235" t="s">
        <v>5467</v>
      </c>
      <c r="C169" s="267" t="s">
        <v>5468</v>
      </c>
      <c r="D169" s="8">
        <v>6208</v>
      </c>
      <c r="F169" s="235" t="s">
        <v>5293</v>
      </c>
      <c r="G169" s="1"/>
      <c r="I169" s="1"/>
    </row>
    <row r="170" spans="1:9">
      <c r="A170" s="263">
        <v>17</v>
      </c>
      <c r="B170" s="235" t="s">
        <v>303</v>
      </c>
      <c r="C170" s="267" t="s">
        <v>5469</v>
      </c>
      <c r="D170" s="8">
        <v>3553</v>
      </c>
      <c r="F170" s="235" t="s">
        <v>5291</v>
      </c>
      <c r="G170" s="1"/>
      <c r="I170" s="1"/>
    </row>
    <row r="171" spans="1:9">
      <c r="A171" s="263">
        <v>18</v>
      </c>
      <c r="B171" s="235" t="s">
        <v>5470</v>
      </c>
      <c r="C171" s="267" t="s">
        <v>5471</v>
      </c>
      <c r="D171" s="7">
        <v>3501</v>
      </c>
      <c r="F171" s="235" t="s">
        <v>5291</v>
      </c>
      <c r="G171" s="1"/>
      <c r="I171" s="1"/>
    </row>
    <row r="172" spans="1:9">
      <c r="A172" s="263">
        <v>19</v>
      </c>
      <c r="B172" s="235" t="s">
        <v>5472</v>
      </c>
      <c r="C172" s="267" t="s">
        <v>5473</v>
      </c>
      <c r="D172" s="7">
        <v>2828</v>
      </c>
      <c r="F172" s="235" t="s">
        <v>5291</v>
      </c>
      <c r="G172" s="1"/>
      <c r="I172" s="1"/>
    </row>
    <row r="173" spans="1:9">
      <c r="A173" s="263">
        <v>20</v>
      </c>
      <c r="B173" s="235" t="s">
        <v>5474</v>
      </c>
      <c r="C173" s="267" t="s">
        <v>5475</v>
      </c>
      <c r="D173" s="7">
        <v>3291</v>
      </c>
      <c r="F173" s="235" t="s">
        <v>5291</v>
      </c>
      <c r="G173" s="1"/>
      <c r="I173" s="1"/>
    </row>
    <row r="174" spans="1:9">
      <c r="A174" s="263">
        <v>21</v>
      </c>
      <c r="B174" s="235" t="s">
        <v>5476</v>
      </c>
      <c r="C174" s="267" t="s">
        <v>5477</v>
      </c>
      <c r="D174" s="8">
        <v>3069</v>
      </c>
      <c r="F174" s="235" t="s">
        <v>5291</v>
      </c>
      <c r="G174" s="1"/>
      <c r="I174" s="1"/>
    </row>
    <row r="175" spans="1:9">
      <c r="A175" s="263">
        <v>22</v>
      </c>
      <c r="B175" s="235" t="s">
        <v>5478</v>
      </c>
      <c r="C175" s="267" t="s">
        <v>5479</v>
      </c>
      <c r="D175" s="8">
        <v>3144</v>
      </c>
      <c r="F175" s="235" t="s">
        <v>5293</v>
      </c>
      <c r="G175" s="1"/>
      <c r="I175" s="1"/>
    </row>
    <row r="176" spans="1:9">
      <c r="A176" s="263">
        <v>23</v>
      </c>
      <c r="B176" s="235" t="s">
        <v>503</v>
      </c>
      <c r="C176" s="267" t="s">
        <v>5480</v>
      </c>
      <c r="D176" s="7">
        <v>2877</v>
      </c>
      <c r="F176" s="235" t="s">
        <v>5291</v>
      </c>
      <c r="G176" s="1"/>
      <c r="I176" s="1"/>
    </row>
    <row r="177" spans="1:9">
      <c r="A177" s="263">
        <v>24</v>
      </c>
      <c r="B177" s="235" t="s">
        <v>504</v>
      </c>
      <c r="C177" s="267" t="s">
        <v>5481</v>
      </c>
      <c r="D177" s="8">
        <v>1672</v>
      </c>
      <c r="F177" s="235" t="s">
        <v>5293</v>
      </c>
      <c r="G177" s="1"/>
      <c r="I177" s="1"/>
    </row>
    <row r="178" spans="1:9">
      <c r="A178" s="263">
        <v>25</v>
      </c>
      <c r="B178" s="235" t="s">
        <v>5482</v>
      </c>
      <c r="C178" s="267" t="s">
        <v>5483</v>
      </c>
      <c r="D178" s="7">
        <v>2662</v>
      </c>
      <c r="F178" s="235" t="s">
        <v>5293</v>
      </c>
      <c r="G178" s="1"/>
      <c r="I178" s="1"/>
    </row>
    <row r="179" spans="1:9">
      <c r="A179" s="263">
        <v>26</v>
      </c>
      <c r="B179" s="235" t="s">
        <v>5484</v>
      </c>
      <c r="C179" s="267" t="s">
        <v>5485</v>
      </c>
      <c r="D179" s="8">
        <v>3203</v>
      </c>
      <c r="F179" s="235" t="s">
        <v>5293</v>
      </c>
      <c r="G179" s="1"/>
      <c r="I179" s="1"/>
    </row>
    <row r="180" spans="1:9">
      <c r="A180" s="263">
        <v>27</v>
      </c>
      <c r="B180" s="235" t="s">
        <v>5486</v>
      </c>
      <c r="C180" s="267" t="s">
        <v>5487</v>
      </c>
      <c r="D180" s="7">
        <v>3605</v>
      </c>
      <c r="F180" s="235" t="s">
        <v>5291</v>
      </c>
      <c r="G180" s="1"/>
      <c r="I180" s="1"/>
    </row>
    <row r="181" spans="1:9">
      <c r="A181" s="268" t="s">
        <v>734</v>
      </c>
      <c r="B181" s="235" t="s">
        <v>5488</v>
      </c>
      <c r="C181" s="267" t="s">
        <v>5489</v>
      </c>
      <c r="D181" s="7">
        <v>3927</v>
      </c>
      <c r="F181" s="235" t="s">
        <v>5291</v>
      </c>
      <c r="G181" s="1"/>
      <c r="I181" s="1"/>
    </row>
    <row r="182" spans="1:9">
      <c r="A182" s="268" t="s">
        <v>735</v>
      </c>
      <c r="B182" s="235" t="s">
        <v>5490</v>
      </c>
      <c r="C182" s="267" t="s">
        <v>5491</v>
      </c>
      <c r="D182" s="8">
        <v>6540</v>
      </c>
      <c r="F182" s="235" t="s">
        <v>5291</v>
      </c>
      <c r="G182" s="1"/>
      <c r="I182" s="1"/>
    </row>
    <row r="183" spans="1:9">
      <c r="A183" s="268" t="s">
        <v>736</v>
      </c>
      <c r="B183" s="255" t="s">
        <v>679</v>
      </c>
      <c r="C183" s="267" t="s">
        <v>5492</v>
      </c>
      <c r="D183" s="8">
        <v>2484</v>
      </c>
      <c r="F183" s="235" t="s">
        <v>5291</v>
      </c>
      <c r="G183" s="1"/>
      <c r="I183" s="1"/>
    </row>
    <row r="184" spans="1:9">
      <c r="A184" s="268" t="s">
        <v>931</v>
      </c>
      <c r="B184" s="235" t="s">
        <v>5493</v>
      </c>
      <c r="C184" s="267" t="s">
        <v>5494</v>
      </c>
      <c r="D184" s="8">
        <v>4623</v>
      </c>
      <c r="F184" s="235" t="s">
        <v>5293</v>
      </c>
      <c r="G184" s="1"/>
      <c r="I184" s="1"/>
    </row>
    <row r="185" spans="1:9">
      <c r="A185" s="268" t="s">
        <v>932</v>
      </c>
      <c r="B185" s="235" t="s">
        <v>5495</v>
      </c>
      <c r="C185" s="267" t="s">
        <v>5496</v>
      </c>
      <c r="D185" s="8">
        <v>3301</v>
      </c>
      <c r="F185" s="235" t="s">
        <v>5293</v>
      </c>
      <c r="G185" s="1"/>
      <c r="I185" s="1"/>
    </row>
    <row r="186" spans="1:9">
      <c r="A186" s="268" t="s">
        <v>933</v>
      </c>
      <c r="B186" s="235" t="s">
        <v>5497</v>
      </c>
      <c r="C186" s="267" t="s">
        <v>5498</v>
      </c>
      <c r="D186" s="8">
        <v>3371</v>
      </c>
      <c r="F186" s="235" t="s">
        <v>5291</v>
      </c>
      <c r="G186" s="1"/>
      <c r="I186" s="1"/>
    </row>
    <row r="187" spans="1:9">
      <c r="D187" s="258"/>
    </row>
    <row r="188" spans="1:9">
      <c r="A188" s="235" t="s">
        <v>5291</v>
      </c>
      <c r="D188" s="257">
        <f>SUM(D154:D157)+D161+D162+D164+D165+D168+SUM(D170:D174)+D176+SUM(D180:D182)+D183+D186</f>
        <v>72743</v>
      </c>
    </row>
    <row r="189" spans="1:9">
      <c r="A189" s="235" t="s">
        <v>5499</v>
      </c>
      <c r="D189" s="257">
        <f>SUM(D158:D160)+D163+D166+D167+D169+D175+SUM(D177:D179)+D184+D185</f>
        <v>65044</v>
      </c>
    </row>
    <row r="190" spans="1:9">
      <c r="A190" s="235"/>
      <c r="B190" s="235"/>
    </row>
    <row r="191" spans="1:9">
      <c r="A191" s="235" t="s">
        <v>5500</v>
      </c>
      <c r="B191" s="235"/>
      <c r="D191" s="264"/>
    </row>
    <row r="192" spans="1:9">
      <c r="A192" s="235"/>
      <c r="B192" s="235"/>
      <c r="C192" s="235"/>
      <c r="D192" s="264"/>
    </row>
    <row r="193" spans="1:9">
      <c r="A193" s="235"/>
      <c r="B193" s="235"/>
      <c r="C193" s="235"/>
      <c r="D193" s="264"/>
    </row>
    <row r="194" spans="1:9">
      <c r="D194" s="10" t="s">
        <v>285</v>
      </c>
      <c r="F194" s="38" t="s">
        <v>4116</v>
      </c>
    </row>
    <row r="195" spans="1:9">
      <c r="D195" s="256">
        <v>2016</v>
      </c>
      <c r="E195" s="40"/>
      <c r="F195" s="41" t="s">
        <v>286</v>
      </c>
    </row>
    <row r="196" spans="1:9">
      <c r="A196" s="235" t="s">
        <v>5501</v>
      </c>
      <c r="D196" s="257">
        <f t="shared" ref="D196" si="25">SUM(D197:D223)</f>
        <v>68535</v>
      </c>
    </row>
    <row r="197" spans="1:9">
      <c r="A197" s="263">
        <v>1</v>
      </c>
      <c r="B197" s="235" t="s">
        <v>5502</v>
      </c>
      <c r="C197" s="1" t="s">
        <v>5503</v>
      </c>
      <c r="D197" s="7">
        <v>1598</v>
      </c>
      <c r="F197" s="235" t="s">
        <v>5295</v>
      </c>
      <c r="G197" s="1"/>
      <c r="I197" s="1"/>
    </row>
    <row r="198" spans="1:9">
      <c r="A198" s="263">
        <v>2</v>
      </c>
      <c r="B198" s="235" t="s">
        <v>5504</v>
      </c>
      <c r="C198" s="1" t="s">
        <v>5505</v>
      </c>
      <c r="D198" s="7">
        <v>2895</v>
      </c>
      <c r="F198" s="235" t="s">
        <v>5295</v>
      </c>
      <c r="G198" s="1"/>
      <c r="I198" s="1"/>
    </row>
    <row r="199" spans="1:9">
      <c r="A199" s="263">
        <v>3</v>
      </c>
      <c r="B199" s="235" t="s">
        <v>5506</v>
      </c>
      <c r="C199" s="1" t="s">
        <v>5507</v>
      </c>
      <c r="D199" s="7">
        <v>3534</v>
      </c>
      <c r="F199" s="235" t="s">
        <v>5295</v>
      </c>
      <c r="G199" s="1"/>
      <c r="I199" s="1"/>
    </row>
    <row r="200" spans="1:9">
      <c r="A200" s="263">
        <v>4</v>
      </c>
      <c r="B200" s="235" t="s">
        <v>5508</v>
      </c>
      <c r="C200" s="1" t="s">
        <v>5509</v>
      </c>
      <c r="D200" s="7">
        <v>3439</v>
      </c>
      <c r="F200" s="235" t="s">
        <v>5295</v>
      </c>
      <c r="G200" s="1"/>
      <c r="I200" s="1"/>
    </row>
    <row r="201" spans="1:9">
      <c r="A201" s="263">
        <v>5</v>
      </c>
      <c r="B201" s="235" t="s">
        <v>5510</v>
      </c>
      <c r="C201" s="1" t="s">
        <v>5511</v>
      </c>
      <c r="D201" s="7">
        <v>3259</v>
      </c>
      <c r="F201" s="235" t="s">
        <v>5295</v>
      </c>
      <c r="G201" s="1"/>
      <c r="I201" s="1"/>
    </row>
    <row r="202" spans="1:9">
      <c r="A202" s="263">
        <v>6</v>
      </c>
      <c r="B202" s="235" t="s">
        <v>5512</v>
      </c>
      <c r="C202" s="1" t="s">
        <v>5513</v>
      </c>
      <c r="D202" s="7">
        <v>3373</v>
      </c>
      <c r="F202" s="235" t="s">
        <v>5295</v>
      </c>
      <c r="G202" s="1"/>
      <c r="I202" s="1"/>
    </row>
    <row r="203" spans="1:9">
      <c r="A203" s="263">
        <v>7</v>
      </c>
      <c r="B203" s="235" t="s">
        <v>5514</v>
      </c>
      <c r="C203" s="1" t="s">
        <v>5515</v>
      </c>
      <c r="D203" s="7">
        <v>3389</v>
      </c>
      <c r="F203" s="235" t="s">
        <v>5293</v>
      </c>
      <c r="G203" s="1"/>
      <c r="I203" s="1"/>
    </row>
    <row r="204" spans="1:9">
      <c r="A204" s="263">
        <v>8</v>
      </c>
      <c r="B204" s="235" t="s">
        <v>5516</v>
      </c>
      <c r="C204" s="1" t="s">
        <v>5517</v>
      </c>
      <c r="D204" s="7">
        <v>1607</v>
      </c>
      <c r="F204" s="235" t="s">
        <v>5295</v>
      </c>
      <c r="G204" s="1"/>
      <c r="I204" s="1"/>
    </row>
    <row r="205" spans="1:9">
      <c r="A205" s="263">
        <v>9</v>
      </c>
      <c r="B205" s="235" t="s">
        <v>5518</v>
      </c>
      <c r="C205" s="1" t="s">
        <v>5519</v>
      </c>
      <c r="D205" s="7">
        <v>2942</v>
      </c>
      <c r="F205" s="235" t="s">
        <v>5295</v>
      </c>
      <c r="G205" s="1"/>
      <c r="I205" s="1"/>
    </row>
    <row r="206" spans="1:9">
      <c r="A206" s="263">
        <v>10</v>
      </c>
      <c r="B206" s="235" t="s">
        <v>5520</v>
      </c>
      <c r="C206" s="1" t="s">
        <v>5521</v>
      </c>
      <c r="D206" s="7">
        <v>3206</v>
      </c>
      <c r="F206" s="235" t="s">
        <v>5295</v>
      </c>
      <c r="G206" s="1"/>
      <c r="I206" s="1"/>
    </row>
    <row r="207" spans="1:9">
      <c r="A207" s="263">
        <v>11</v>
      </c>
      <c r="B207" s="235" t="s">
        <v>5522</v>
      </c>
      <c r="C207" s="1" t="s">
        <v>5523</v>
      </c>
      <c r="D207" s="7">
        <v>3036</v>
      </c>
      <c r="F207" s="235" t="s">
        <v>5295</v>
      </c>
      <c r="G207" s="1"/>
      <c r="I207" s="1"/>
    </row>
    <row r="208" spans="1:9">
      <c r="A208" s="263">
        <v>12</v>
      </c>
      <c r="B208" s="235" t="s">
        <v>5524</v>
      </c>
      <c r="C208" s="1" t="s">
        <v>5525</v>
      </c>
      <c r="D208" s="7">
        <v>1851</v>
      </c>
      <c r="F208" s="235" t="s">
        <v>5293</v>
      </c>
      <c r="G208" s="1"/>
      <c r="I208" s="1"/>
    </row>
    <row r="209" spans="1:9">
      <c r="A209" s="263">
        <v>13</v>
      </c>
      <c r="B209" s="235" t="s">
        <v>5526</v>
      </c>
      <c r="C209" s="1" t="s">
        <v>5527</v>
      </c>
      <c r="D209" s="7">
        <v>3825</v>
      </c>
      <c r="F209" s="235" t="s">
        <v>5295</v>
      </c>
      <c r="G209" s="1"/>
      <c r="I209" s="1"/>
    </row>
    <row r="210" spans="1:9">
      <c r="A210" s="263">
        <v>14</v>
      </c>
      <c r="B210" s="235" t="s">
        <v>5528</v>
      </c>
      <c r="C210" s="1" t="s">
        <v>5529</v>
      </c>
      <c r="D210" s="7">
        <v>3649</v>
      </c>
      <c r="F210" s="235" t="s">
        <v>5295</v>
      </c>
      <c r="G210" s="1"/>
      <c r="I210" s="1"/>
    </row>
    <row r="211" spans="1:9">
      <c r="A211" s="263">
        <v>15</v>
      </c>
      <c r="B211" s="235" t="s">
        <v>5530</v>
      </c>
      <c r="C211" s="1" t="s">
        <v>5531</v>
      </c>
      <c r="D211" s="7">
        <v>1731</v>
      </c>
      <c r="F211" s="235" t="s">
        <v>5295</v>
      </c>
      <c r="G211" s="1"/>
      <c r="I211" s="1"/>
    </row>
    <row r="212" spans="1:9">
      <c r="A212" s="263">
        <v>16</v>
      </c>
      <c r="B212" s="235" t="s">
        <v>5532</v>
      </c>
      <c r="C212" s="1" t="s">
        <v>5533</v>
      </c>
      <c r="D212" s="8">
        <v>1493</v>
      </c>
      <c r="F212" s="235" t="s">
        <v>5295</v>
      </c>
      <c r="G212" s="1"/>
      <c r="I212" s="1"/>
    </row>
    <row r="213" spans="1:9">
      <c r="A213" s="263">
        <v>17</v>
      </c>
      <c r="B213" s="235" t="s">
        <v>5534</v>
      </c>
      <c r="C213" s="1" t="s">
        <v>5535</v>
      </c>
      <c r="D213" s="8">
        <v>1667</v>
      </c>
      <c r="F213" s="235" t="s">
        <v>5295</v>
      </c>
      <c r="G213" s="1"/>
      <c r="I213" s="1"/>
    </row>
    <row r="214" spans="1:9">
      <c r="A214" s="263">
        <v>18</v>
      </c>
      <c r="B214" s="235" t="s">
        <v>5536</v>
      </c>
      <c r="C214" s="1" t="s">
        <v>5537</v>
      </c>
      <c r="D214" s="8">
        <v>3238</v>
      </c>
      <c r="F214" s="235" t="s">
        <v>5295</v>
      </c>
      <c r="G214" s="1"/>
      <c r="I214" s="1"/>
    </row>
    <row r="215" spans="1:9">
      <c r="A215" s="263">
        <v>19</v>
      </c>
      <c r="B215" s="235" t="s">
        <v>5538</v>
      </c>
      <c r="C215" s="1" t="s">
        <v>5539</v>
      </c>
      <c r="D215" s="8">
        <v>1557</v>
      </c>
      <c r="F215" s="235" t="s">
        <v>5295</v>
      </c>
      <c r="G215" s="1"/>
      <c r="I215" s="1"/>
    </row>
    <row r="216" spans="1:9">
      <c r="A216" s="263">
        <v>20</v>
      </c>
      <c r="B216" s="255" t="s">
        <v>5540</v>
      </c>
      <c r="C216" s="1" t="s">
        <v>5541</v>
      </c>
      <c r="D216" s="8">
        <v>1855</v>
      </c>
      <c r="F216" s="235" t="s">
        <v>5295</v>
      </c>
      <c r="G216" s="1"/>
      <c r="I216" s="1"/>
    </row>
    <row r="217" spans="1:9">
      <c r="A217" s="263">
        <v>21</v>
      </c>
      <c r="B217" s="235" t="s">
        <v>5542</v>
      </c>
      <c r="C217" s="1" t="s">
        <v>5543</v>
      </c>
      <c r="D217" s="8">
        <v>1816</v>
      </c>
      <c r="F217" s="235" t="s">
        <v>5295</v>
      </c>
      <c r="G217" s="1"/>
      <c r="I217" s="1"/>
    </row>
    <row r="218" spans="1:9">
      <c r="A218" s="263">
        <v>22</v>
      </c>
      <c r="B218" s="235" t="s">
        <v>5544</v>
      </c>
      <c r="C218" s="1" t="s">
        <v>5545</v>
      </c>
      <c r="D218" s="8">
        <v>1591</v>
      </c>
      <c r="F218" s="235" t="s">
        <v>5295</v>
      </c>
      <c r="G218" s="1"/>
      <c r="I218" s="1"/>
    </row>
    <row r="219" spans="1:9">
      <c r="A219" s="263">
        <v>23</v>
      </c>
      <c r="B219" s="235" t="s">
        <v>5546</v>
      </c>
      <c r="C219" s="1" t="s">
        <v>5547</v>
      </c>
      <c r="D219" s="8">
        <v>1534</v>
      </c>
      <c r="F219" s="235" t="s">
        <v>5295</v>
      </c>
      <c r="G219" s="1"/>
      <c r="I219" s="1"/>
    </row>
    <row r="220" spans="1:9">
      <c r="A220" s="263">
        <v>24</v>
      </c>
      <c r="B220" s="235" t="s">
        <v>5548</v>
      </c>
      <c r="C220" s="1" t="s">
        <v>5549</v>
      </c>
      <c r="D220" s="8">
        <v>4388</v>
      </c>
      <c r="F220" s="235" t="s">
        <v>5295</v>
      </c>
      <c r="G220" s="1"/>
      <c r="I220" s="1"/>
    </row>
    <row r="221" spans="1:9">
      <c r="A221" s="263">
        <v>25</v>
      </c>
      <c r="B221" s="235" t="s">
        <v>5550</v>
      </c>
      <c r="C221" s="1" t="s">
        <v>5551</v>
      </c>
      <c r="D221" s="8">
        <v>2817</v>
      </c>
      <c r="F221" s="235" t="s">
        <v>5295</v>
      </c>
      <c r="G221" s="1"/>
      <c r="I221" s="1"/>
    </row>
    <row r="222" spans="1:9">
      <c r="A222" s="263">
        <v>26</v>
      </c>
      <c r="B222" s="235" t="s">
        <v>5552</v>
      </c>
      <c r="C222" s="1" t="s">
        <v>5553</v>
      </c>
      <c r="D222" s="8">
        <v>1485</v>
      </c>
      <c r="F222" s="235" t="s">
        <v>5295</v>
      </c>
      <c r="G222" s="1"/>
      <c r="I222" s="1"/>
    </row>
    <row r="223" spans="1:9">
      <c r="A223" s="263">
        <v>27</v>
      </c>
      <c r="B223" s="235" t="s">
        <v>5554</v>
      </c>
      <c r="C223" s="1" t="s">
        <v>5555</v>
      </c>
      <c r="D223" s="8">
        <v>1760</v>
      </c>
      <c r="F223" s="235" t="s">
        <v>5295</v>
      </c>
      <c r="G223" s="1"/>
      <c r="I223" s="1"/>
    </row>
    <row r="224" spans="1:9">
      <c r="D224" s="258"/>
    </row>
    <row r="225" spans="1:9">
      <c r="A225" s="235" t="s">
        <v>5499</v>
      </c>
      <c r="D225" s="257">
        <f>D203+D208</f>
        <v>5240</v>
      </c>
    </row>
    <row r="226" spans="1:9">
      <c r="A226" s="235" t="s">
        <v>5355</v>
      </c>
      <c r="D226" s="257">
        <f>SUM(D197:D202)+SUM(D204:D207)+SUM(D209:D223)</f>
        <v>63295</v>
      </c>
    </row>
    <row r="227" spans="1:9">
      <c r="A227" s="235"/>
      <c r="D227" s="257"/>
    </row>
    <row r="228" spans="1:9">
      <c r="A228" s="235" t="s">
        <v>5556</v>
      </c>
      <c r="B228" s="235"/>
    </row>
    <row r="229" spans="1:9">
      <c r="A229" s="235" t="s">
        <v>5557</v>
      </c>
      <c r="B229" s="235"/>
    </row>
    <row r="230" spans="1:9">
      <c r="A230" s="235"/>
      <c r="B230" s="235"/>
      <c r="D230" s="264"/>
    </row>
    <row r="231" spans="1:9">
      <c r="A231" s="235"/>
      <c r="B231" s="235"/>
    </row>
    <row r="232" spans="1:9">
      <c r="D232" s="10" t="s">
        <v>285</v>
      </c>
      <c r="F232" s="38" t="s">
        <v>4116</v>
      </c>
    </row>
    <row r="233" spans="1:9">
      <c r="D233" s="256">
        <v>2016</v>
      </c>
      <c r="E233" s="40"/>
      <c r="F233" s="41" t="s">
        <v>286</v>
      </c>
    </row>
    <row r="234" spans="1:9">
      <c r="A234" s="235" t="s">
        <v>5558</v>
      </c>
      <c r="D234" s="257">
        <f>SUM(D235:D241)+SUM(D242:D250)</f>
        <v>52566</v>
      </c>
    </row>
    <row r="235" spans="1:9">
      <c r="A235" s="263">
        <v>1</v>
      </c>
      <c r="B235" s="235" t="s">
        <v>5559</v>
      </c>
      <c r="C235" s="1" t="s">
        <v>5560</v>
      </c>
      <c r="D235" s="7">
        <v>1646</v>
      </c>
      <c r="F235" s="235" t="s">
        <v>5293</v>
      </c>
      <c r="G235" s="1"/>
      <c r="I235" s="1"/>
    </row>
    <row r="236" spans="1:9">
      <c r="A236" s="263">
        <v>2</v>
      </c>
      <c r="B236" s="235" t="s">
        <v>5561</v>
      </c>
      <c r="C236" s="1" t="s">
        <v>5562</v>
      </c>
      <c r="D236" s="7">
        <v>2977</v>
      </c>
      <c r="F236" s="235" t="s">
        <v>5296</v>
      </c>
      <c r="G236" s="1"/>
      <c r="I236" s="1"/>
    </row>
    <row r="237" spans="1:9">
      <c r="A237" s="263">
        <v>3</v>
      </c>
      <c r="B237" s="235" t="s">
        <v>5563</v>
      </c>
      <c r="C237" s="1" t="s">
        <v>5564</v>
      </c>
      <c r="D237" s="7">
        <v>4423</v>
      </c>
      <c r="F237" s="235" t="s">
        <v>5296</v>
      </c>
      <c r="G237" s="1"/>
      <c r="I237" s="1"/>
    </row>
    <row r="238" spans="1:9">
      <c r="A238" s="263">
        <v>4</v>
      </c>
      <c r="B238" s="235" t="s">
        <v>5565</v>
      </c>
      <c r="C238" s="1" t="s">
        <v>5566</v>
      </c>
      <c r="D238" s="7">
        <v>4119</v>
      </c>
      <c r="F238" s="235" t="s">
        <v>4532</v>
      </c>
      <c r="G238" s="1"/>
      <c r="I238" s="1"/>
    </row>
    <row r="239" spans="1:9">
      <c r="A239" s="263">
        <v>5</v>
      </c>
      <c r="B239" s="235" t="s">
        <v>5567</v>
      </c>
      <c r="C239" s="1" t="s">
        <v>5568</v>
      </c>
      <c r="D239" s="7">
        <v>3210</v>
      </c>
      <c r="F239" s="235" t="s">
        <v>5290</v>
      </c>
      <c r="G239" s="1"/>
      <c r="I239" s="1"/>
    </row>
    <row r="240" spans="1:9">
      <c r="A240" s="263">
        <v>6</v>
      </c>
      <c r="B240" s="235" t="s">
        <v>5569</v>
      </c>
      <c r="C240" s="1" t="s">
        <v>5570</v>
      </c>
      <c r="D240" s="7">
        <v>1503</v>
      </c>
      <c r="F240" s="235" t="s">
        <v>5296</v>
      </c>
      <c r="G240" s="1"/>
      <c r="I240" s="1"/>
    </row>
    <row r="241" spans="1:9">
      <c r="A241" s="263">
        <v>7</v>
      </c>
      <c r="B241" s="235" t="s">
        <v>5571</v>
      </c>
      <c r="C241" s="1" t="s">
        <v>5572</v>
      </c>
      <c r="D241" s="7">
        <v>3331</v>
      </c>
      <c r="F241" s="235" t="s">
        <v>4532</v>
      </c>
      <c r="G241" s="1"/>
      <c r="I241" s="1"/>
    </row>
    <row r="242" spans="1:9">
      <c r="A242" s="263">
        <v>8</v>
      </c>
      <c r="B242" s="235" t="s">
        <v>4491</v>
      </c>
      <c r="C242" s="1" t="s">
        <v>5573</v>
      </c>
      <c r="D242" s="7">
        <v>2954</v>
      </c>
      <c r="F242" s="235" t="s">
        <v>5296</v>
      </c>
      <c r="G242" s="1"/>
      <c r="I242" s="1"/>
    </row>
    <row r="243" spans="1:9">
      <c r="A243" s="263">
        <v>9</v>
      </c>
      <c r="B243" s="235" t="s">
        <v>5574</v>
      </c>
      <c r="C243" s="1" t="s">
        <v>5575</v>
      </c>
      <c r="D243" s="7">
        <v>4371</v>
      </c>
      <c r="F243" s="235" t="s">
        <v>5296</v>
      </c>
      <c r="G243" s="1"/>
      <c r="I243" s="1"/>
    </row>
    <row r="244" spans="1:9">
      <c r="A244" s="263">
        <v>10</v>
      </c>
      <c r="B244" s="235" t="s">
        <v>5576</v>
      </c>
      <c r="C244" s="1" t="s">
        <v>5577</v>
      </c>
      <c r="D244" s="7">
        <v>1111</v>
      </c>
      <c r="F244" s="235" t="s">
        <v>5296</v>
      </c>
      <c r="G244" s="1"/>
      <c r="I244" s="1"/>
    </row>
    <row r="245" spans="1:9">
      <c r="A245" s="263">
        <v>11</v>
      </c>
      <c r="B245" s="235" t="s">
        <v>5578</v>
      </c>
      <c r="C245" s="1" t="s">
        <v>5579</v>
      </c>
      <c r="D245" s="7">
        <v>4257</v>
      </c>
      <c r="F245" s="235" t="s">
        <v>5296</v>
      </c>
      <c r="G245" s="1"/>
      <c r="I245" s="1"/>
    </row>
    <row r="246" spans="1:9">
      <c r="A246" s="263">
        <v>12</v>
      </c>
      <c r="B246" s="235" t="s">
        <v>5580</v>
      </c>
      <c r="C246" s="1" t="s">
        <v>5581</v>
      </c>
      <c r="D246" s="7">
        <v>4898</v>
      </c>
      <c r="F246" s="235" t="s">
        <v>5296</v>
      </c>
      <c r="G246" s="1"/>
      <c r="I246" s="1"/>
    </row>
    <row r="247" spans="1:9">
      <c r="A247" s="263">
        <v>13</v>
      </c>
      <c r="B247" s="235" t="s">
        <v>5582</v>
      </c>
      <c r="C247" s="1" t="s">
        <v>5583</v>
      </c>
      <c r="D247" s="7">
        <v>4397</v>
      </c>
      <c r="F247" s="235" t="s">
        <v>5296</v>
      </c>
      <c r="G247" s="1"/>
      <c r="I247" s="1"/>
    </row>
    <row r="248" spans="1:9">
      <c r="A248" s="263">
        <v>14</v>
      </c>
      <c r="B248" s="235" t="s">
        <v>5584</v>
      </c>
      <c r="C248" s="1" t="s">
        <v>5585</v>
      </c>
      <c r="D248" s="7">
        <v>2858</v>
      </c>
      <c r="F248" s="235" t="s">
        <v>5296</v>
      </c>
      <c r="G248" s="1"/>
      <c r="I248" s="1"/>
    </row>
    <row r="249" spans="1:9">
      <c r="A249" s="263">
        <v>15</v>
      </c>
      <c r="B249" s="235" t="s">
        <v>5586</v>
      </c>
      <c r="C249" s="1" t="s">
        <v>5587</v>
      </c>
      <c r="D249" s="8">
        <v>3458</v>
      </c>
      <c r="F249" s="235" t="s">
        <v>5296</v>
      </c>
      <c r="G249" s="1"/>
      <c r="I249" s="1"/>
    </row>
    <row r="250" spans="1:9">
      <c r="A250" s="263">
        <v>16</v>
      </c>
      <c r="B250" s="235" t="s">
        <v>5588</v>
      </c>
      <c r="C250" s="1" t="s">
        <v>5589</v>
      </c>
      <c r="D250" s="8">
        <v>3053</v>
      </c>
      <c r="F250" s="235" t="s">
        <v>5293</v>
      </c>
      <c r="G250" s="1"/>
      <c r="I250" s="1"/>
    </row>
    <row r="251" spans="1:9">
      <c r="D251" s="258"/>
    </row>
    <row r="252" spans="1:9">
      <c r="A252" s="255" t="s">
        <v>4773</v>
      </c>
      <c r="D252" s="258">
        <f>D238+D241</f>
        <v>7450</v>
      </c>
    </row>
    <row r="253" spans="1:9">
      <c r="A253" s="235" t="s">
        <v>5435</v>
      </c>
      <c r="D253" s="258">
        <f>D239</f>
        <v>3210</v>
      </c>
    </row>
    <row r="254" spans="1:9">
      <c r="A254" s="235" t="s">
        <v>5499</v>
      </c>
      <c r="D254" s="258">
        <f>D235+D250</f>
        <v>4699</v>
      </c>
    </row>
    <row r="255" spans="1:9">
      <c r="A255" s="235" t="s">
        <v>5401</v>
      </c>
      <c r="D255" s="257">
        <f>D236+D237+D240+SUM(D242:D249)</f>
        <v>37207</v>
      </c>
      <c r="E255" s="257"/>
    </row>
    <row r="257" spans="1:1">
      <c r="A257" s="255" t="s">
        <v>5590</v>
      </c>
    </row>
  </sheetData>
  <printOptions gridLinesSet="0"/>
  <pageMargins left="0.78740157480314965" right="0" top="0.51181102362204722" bottom="0.51181102362204722" header="0.51181102362204722" footer="0.51181102362204722"/>
  <pageSetup paperSize="9" scale="65" orientation="portrait" horizontalDpi="300" verticalDpi="300" r:id="rId1"/>
  <headerFooter alignWithMargins="0">
    <oddFooter>&amp;C&amp;"Times New Roman,Regular"&amp;8&amp;P of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42"/>
  <sheetViews>
    <sheetView showGridLines="0" zoomScaleNormal="100" workbookViewId="0"/>
  </sheetViews>
  <sheetFormatPr defaultColWidth="12.59765625" defaultRowHeight="14.5"/>
  <cols>
    <col min="1" max="1" width="4.8984375" style="308" customWidth="1"/>
    <col min="2" max="2" width="45.59765625" style="308" customWidth="1"/>
    <col min="3" max="3" width="11.59765625" style="308" customWidth="1"/>
    <col min="4" max="4" width="10" style="308" customWidth="1"/>
    <col min="5" max="5" width="2.296875" style="308" customWidth="1"/>
    <col min="6" max="6" width="34.8984375" style="308" customWidth="1"/>
    <col min="7" max="7" width="12.59765625" style="308"/>
    <col min="8" max="8" width="9.69921875" style="308" customWidth="1"/>
    <col min="9" max="16384" width="12.59765625" style="308"/>
  </cols>
  <sheetData>
    <row r="1" spans="1:6">
      <c r="A1" s="307" t="s">
        <v>1075</v>
      </c>
      <c r="D1" s="309">
        <v>2016</v>
      </c>
    </row>
    <row r="3" spans="1:6">
      <c r="A3" s="307" t="s">
        <v>6381</v>
      </c>
      <c r="D3" s="310">
        <f>SUM(D23:D61)+SUM(D62:D70)+SUM(D71:D73)+SUM(D74:D84)+SUM(D85:D88)</f>
        <v>232448</v>
      </c>
    </row>
    <row r="4" spans="1:6">
      <c r="D4" s="311"/>
    </row>
    <row r="5" spans="1:6">
      <c r="A5" s="307" t="s">
        <v>6382</v>
      </c>
      <c r="D5" s="310">
        <f t="shared" ref="D5" si="0">D90</f>
        <v>74891</v>
      </c>
      <c r="F5" s="307" t="s">
        <v>6383</v>
      </c>
    </row>
    <row r="6" spans="1:6">
      <c r="D6" s="311"/>
    </row>
    <row r="7" spans="1:6">
      <c r="A7" s="307" t="s">
        <v>6384</v>
      </c>
      <c r="D7" s="310">
        <f t="shared" ref="D7" si="1">D91</f>
        <v>76694</v>
      </c>
      <c r="F7" s="307" t="s">
        <v>6383</v>
      </c>
    </row>
    <row r="8" spans="1:6" ht="14.65" customHeight="1">
      <c r="D8" s="311"/>
    </row>
    <row r="9" spans="1:6">
      <c r="A9" s="307" t="s">
        <v>6385</v>
      </c>
      <c r="D9" s="312">
        <f t="shared" ref="D9" si="2">D92</f>
        <v>77566</v>
      </c>
      <c r="F9" s="307" t="s">
        <v>6383</v>
      </c>
    </row>
    <row r="10" spans="1:6">
      <c r="D10" s="311"/>
    </row>
    <row r="11" spans="1:6">
      <c r="A11" s="304" t="s">
        <v>6386</v>
      </c>
      <c r="D11" s="311">
        <f>'TYNE &amp; WEAR'!D34</f>
        <v>67982</v>
      </c>
      <c r="F11" s="308" t="s">
        <v>6387</v>
      </c>
    </row>
    <row r="12" spans="1:6" ht="15" thickBot="1">
      <c r="D12" s="313">
        <f>D93</f>
        <v>3297</v>
      </c>
      <c r="F12" s="307" t="s">
        <v>6383</v>
      </c>
    </row>
    <row r="13" spans="1:6" ht="15" thickBot="1">
      <c r="D13" s="314">
        <f>D11+D12</f>
        <v>71279</v>
      </c>
    </row>
    <row r="14" spans="1:6">
      <c r="D14" s="311"/>
    </row>
    <row r="15" spans="1:6">
      <c r="A15" s="307" t="s">
        <v>1041</v>
      </c>
      <c r="D15" s="310">
        <f>D5+D7+D9+D12</f>
        <v>232448</v>
      </c>
    </row>
    <row r="16" spans="1:6">
      <c r="D16" s="311"/>
    </row>
    <row r="17" spans="1:9">
      <c r="A17" s="307" t="s">
        <v>6388</v>
      </c>
      <c r="D17" s="315"/>
    </row>
    <row r="18" spans="1:9">
      <c r="A18" s="307"/>
      <c r="D18" s="315"/>
    </row>
    <row r="19" spans="1:9">
      <c r="A19" s="254"/>
      <c r="B19" s="254"/>
      <c r="C19" s="254"/>
      <c r="D19" s="254"/>
      <c r="E19" s="254"/>
      <c r="F19" s="254"/>
      <c r="H19" s="254"/>
    </row>
    <row r="20" spans="1:9">
      <c r="D20" s="10" t="s">
        <v>285</v>
      </c>
      <c r="F20" s="38" t="s">
        <v>4116</v>
      </c>
    </row>
    <row r="21" spans="1:9">
      <c r="D21" s="39">
        <v>2016</v>
      </c>
      <c r="E21" s="40"/>
      <c r="F21" s="41" t="s">
        <v>286</v>
      </c>
    </row>
    <row r="22" spans="1:9">
      <c r="A22" s="307" t="s">
        <v>6381</v>
      </c>
      <c r="B22" s="307"/>
      <c r="C22" s="307"/>
      <c r="D22" s="310">
        <f>SUM(D23:D88)</f>
        <v>232448</v>
      </c>
      <c r="H22" s="307"/>
    </row>
    <row r="23" spans="1:9">
      <c r="A23" s="158">
        <v>1</v>
      </c>
      <c r="B23" s="308" t="s">
        <v>6389</v>
      </c>
      <c r="C23" s="306" t="s">
        <v>6390</v>
      </c>
      <c r="D23" s="316">
        <v>7449</v>
      </c>
      <c r="F23" s="307" t="s">
        <v>6382</v>
      </c>
      <c r="G23" s="292"/>
      <c r="I23" s="292"/>
    </row>
    <row r="24" spans="1:9">
      <c r="A24" s="158">
        <v>2</v>
      </c>
      <c r="B24" s="307" t="s">
        <v>6391</v>
      </c>
      <c r="C24" s="306" t="s">
        <v>6392</v>
      </c>
      <c r="D24" s="316">
        <v>3408</v>
      </c>
      <c r="F24" s="307" t="s">
        <v>6382</v>
      </c>
      <c r="G24" s="292"/>
      <c r="I24" s="292"/>
    </row>
    <row r="25" spans="1:9">
      <c r="A25" s="158">
        <v>3</v>
      </c>
      <c r="B25" s="307" t="s">
        <v>6393</v>
      </c>
      <c r="C25" s="306" t="s">
        <v>6394</v>
      </c>
      <c r="D25" s="316">
        <v>3318</v>
      </c>
      <c r="F25" s="307" t="s">
        <v>6382</v>
      </c>
      <c r="G25" s="292"/>
      <c r="I25" s="292"/>
    </row>
    <row r="26" spans="1:9">
      <c r="A26" s="158">
        <v>4</v>
      </c>
      <c r="B26" s="307" t="s">
        <v>6395</v>
      </c>
      <c r="C26" s="306" t="s">
        <v>6396</v>
      </c>
      <c r="D26" s="316">
        <v>3181</v>
      </c>
      <c r="F26" s="307" t="s">
        <v>6382</v>
      </c>
      <c r="G26" s="292"/>
      <c r="I26" s="292"/>
    </row>
    <row r="27" spans="1:9">
      <c r="A27" s="158">
        <v>5</v>
      </c>
      <c r="B27" s="307" t="s">
        <v>6397</v>
      </c>
      <c r="C27" s="306" t="s">
        <v>6398</v>
      </c>
      <c r="D27" s="316">
        <v>3450</v>
      </c>
      <c r="F27" s="307" t="s">
        <v>6382</v>
      </c>
      <c r="G27" s="292"/>
      <c r="I27" s="292"/>
    </row>
    <row r="28" spans="1:9">
      <c r="A28" s="158">
        <v>6</v>
      </c>
      <c r="B28" s="307" t="s">
        <v>6399</v>
      </c>
      <c r="C28" s="306" t="s">
        <v>6400</v>
      </c>
      <c r="D28" s="316">
        <v>3483</v>
      </c>
      <c r="F28" s="307" t="s">
        <v>6384</v>
      </c>
      <c r="G28" s="292"/>
      <c r="I28" s="292"/>
    </row>
    <row r="29" spans="1:9">
      <c r="A29" s="158">
        <v>7</v>
      </c>
      <c r="B29" s="307" t="s">
        <v>6401</v>
      </c>
      <c r="C29" s="306" t="s">
        <v>6402</v>
      </c>
      <c r="D29" s="316">
        <v>3130</v>
      </c>
      <c r="F29" s="307" t="s">
        <v>6384</v>
      </c>
      <c r="G29" s="292"/>
      <c r="I29" s="292"/>
    </row>
    <row r="30" spans="1:9">
      <c r="A30" s="158">
        <v>8</v>
      </c>
      <c r="B30" s="307" t="s">
        <v>6403</v>
      </c>
      <c r="C30" s="306" t="s">
        <v>6404</v>
      </c>
      <c r="D30" s="316">
        <v>3577</v>
      </c>
      <c r="F30" s="307" t="s">
        <v>6384</v>
      </c>
      <c r="G30" s="292"/>
      <c r="I30" s="292"/>
    </row>
    <row r="31" spans="1:9">
      <c r="A31" s="158">
        <v>9</v>
      </c>
      <c r="B31" s="307" t="s">
        <v>6405</v>
      </c>
      <c r="C31" s="306" t="s">
        <v>6406</v>
      </c>
      <c r="D31" s="316">
        <v>3050</v>
      </c>
      <c r="F31" s="307" t="s">
        <v>6385</v>
      </c>
      <c r="G31" s="292"/>
      <c r="I31" s="292"/>
    </row>
    <row r="32" spans="1:9">
      <c r="A32" s="158">
        <v>10</v>
      </c>
      <c r="B32" s="307" t="s">
        <v>6407</v>
      </c>
      <c r="C32" s="306" t="s">
        <v>6408</v>
      </c>
      <c r="D32" s="316">
        <v>3215</v>
      </c>
      <c r="F32" s="307" t="s">
        <v>6382</v>
      </c>
      <c r="G32" s="292"/>
      <c r="I32" s="292"/>
    </row>
    <row r="33" spans="1:9">
      <c r="A33" s="158">
        <v>11</v>
      </c>
      <c r="B33" s="307" t="s">
        <v>6409</v>
      </c>
      <c r="C33" s="306" t="s">
        <v>6410</v>
      </c>
      <c r="D33" s="316">
        <v>3146</v>
      </c>
      <c r="F33" s="307" t="s">
        <v>6382</v>
      </c>
      <c r="G33" s="292"/>
      <c r="I33" s="292"/>
    </row>
    <row r="34" spans="1:9">
      <c r="A34" s="158">
        <v>12</v>
      </c>
      <c r="B34" s="307" t="s">
        <v>6411</v>
      </c>
      <c r="C34" s="306" t="s">
        <v>6412</v>
      </c>
      <c r="D34" s="316">
        <v>2943</v>
      </c>
      <c r="F34" s="307" t="s">
        <v>6382</v>
      </c>
      <c r="G34" s="292"/>
      <c r="I34" s="292"/>
    </row>
    <row r="35" spans="1:9">
      <c r="A35" s="158">
        <v>13</v>
      </c>
      <c r="B35" s="307" t="s">
        <v>6413</v>
      </c>
      <c r="C35" s="306" t="s">
        <v>6414</v>
      </c>
      <c r="D35" s="316">
        <v>3420</v>
      </c>
      <c r="F35" s="307" t="s">
        <v>6382</v>
      </c>
      <c r="G35" s="292"/>
      <c r="I35" s="292"/>
    </row>
    <row r="36" spans="1:9">
      <c r="A36" s="158">
        <v>14</v>
      </c>
      <c r="B36" s="307" t="s">
        <v>6415</v>
      </c>
      <c r="C36" s="306" t="s">
        <v>6416</v>
      </c>
      <c r="D36" s="316">
        <v>3457</v>
      </c>
      <c r="F36" s="307" t="s">
        <v>6385</v>
      </c>
      <c r="G36" s="292"/>
      <c r="I36" s="292"/>
    </row>
    <row r="37" spans="1:9">
      <c r="A37" s="158">
        <v>15</v>
      </c>
      <c r="B37" s="307" t="s">
        <v>6417</v>
      </c>
      <c r="C37" s="306" t="s">
        <v>6418</v>
      </c>
      <c r="D37" s="316">
        <v>3442</v>
      </c>
      <c r="F37" s="307" t="s">
        <v>6382</v>
      </c>
      <c r="G37" s="292"/>
      <c r="I37" s="292"/>
    </row>
    <row r="38" spans="1:9">
      <c r="A38" s="158">
        <v>16</v>
      </c>
      <c r="B38" s="307" t="s">
        <v>246</v>
      </c>
      <c r="C38" s="306" t="s">
        <v>6419</v>
      </c>
      <c r="D38" s="316">
        <v>3368</v>
      </c>
      <c r="F38" s="307" t="s">
        <v>6382</v>
      </c>
      <c r="G38" s="292"/>
      <c r="I38" s="292"/>
    </row>
    <row r="39" spans="1:9">
      <c r="A39" s="158">
        <v>17</v>
      </c>
      <c r="B39" s="307" t="s">
        <v>6420</v>
      </c>
      <c r="C39" s="306" t="s">
        <v>6421</v>
      </c>
      <c r="D39" s="316">
        <v>3353</v>
      </c>
      <c r="F39" s="307" t="s">
        <v>6385</v>
      </c>
      <c r="G39" s="292"/>
      <c r="I39" s="292"/>
    </row>
    <row r="40" spans="1:9">
      <c r="A40" s="158">
        <v>18</v>
      </c>
      <c r="B40" s="307" t="s">
        <v>6422</v>
      </c>
      <c r="C40" s="306" t="s">
        <v>6423</v>
      </c>
      <c r="D40" s="316">
        <v>3050</v>
      </c>
      <c r="F40" s="307" t="s">
        <v>6384</v>
      </c>
      <c r="G40" s="292"/>
      <c r="I40" s="292"/>
    </row>
    <row r="41" spans="1:9">
      <c r="A41" s="159">
        <v>19</v>
      </c>
      <c r="B41" s="307" t="s">
        <v>6424</v>
      </c>
      <c r="C41" s="306" t="s">
        <v>6425</v>
      </c>
      <c r="D41" s="316">
        <v>2751</v>
      </c>
      <c r="F41" s="307" t="s">
        <v>6384</v>
      </c>
      <c r="G41" s="292"/>
      <c r="I41" s="292"/>
    </row>
    <row r="42" spans="1:9">
      <c r="A42" s="159">
        <v>20</v>
      </c>
      <c r="B42" s="307" t="s">
        <v>6426</v>
      </c>
      <c r="C42" s="306" t="s">
        <v>6427</v>
      </c>
      <c r="D42" s="316">
        <v>3840</v>
      </c>
      <c r="F42" s="307" t="s">
        <v>6384</v>
      </c>
      <c r="G42" s="292"/>
      <c r="I42" s="292"/>
    </row>
    <row r="43" spans="1:9">
      <c r="A43" s="158">
        <v>21</v>
      </c>
      <c r="B43" s="307" t="s">
        <v>6428</v>
      </c>
      <c r="C43" s="306" t="s">
        <v>6429</v>
      </c>
      <c r="D43" s="316">
        <v>4015</v>
      </c>
      <c r="F43" s="307" t="s">
        <v>6384</v>
      </c>
      <c r="G43" s="292"/>
      <c r="I43" s="292"/>
    </row>
    <row r="44" spans="1:9">
      <c r="A44" s="158">
        <v>22</v>
      </c>
      <c r="B44" s="308" t="s">
        <v>6430</v>
      </c>
      <c r="C44" s="306" t="s">
        <v>6431</v>
      </c>
      <c r="D44" s="316">
        <v>3738</v>
      </c>
      <c r="F44" s="307" t="s">
        <v>6384</v>
      </c>
      <c r="G44" s="292"/>
      <c r="I44" s="292"/>
    </row>
    <row r="45" spans="1:9">
      <c r="A45" s="158">
        <v>23</v>
      </c>
      <c r="B45" s="307" t="s">
        <v>6432</v>
      </c>
      <c r="C45" s="306" t="s">
        <v>6433</v>
      </c>
      <c r="D45" s="316">
        <v>3445</v>
      </c>
      <c r="F45" s="307" t="s">
        <v>6384</v>
      </c>
      <c r="G45" s="292"/>
      <c r="I45" s="292"/>
    </row>
    <row r="46" spans="1:9">
      <c r="A46" s="158">
        <v>24</v>
      </c>
      <c r="B46" s="307" t="s">
        <v>6434</v>
      </c>
      <c r="C46" s="306" t="s">
        <v>6435</v>
      </c>
      <c r="D46" s="316">
        <v>3737</v>
      </c>
      <c r="F46" s="307" t="s">
        <v>6384</v>
      </c>
      <c r="G46" s="292"/>
      <c r="I46" s="292"/>
    </row>
    <row r="47" spans="1:9">
      <c r="A47" s="158">
        <v>25</v>
      </c>
      <c r="B47" s="307" t="s">
        <v>5003</v>
      </c>
      <c r="C47" s="306" t="s">
        <v>6436</v>
      </c>
      <c r="D47" s="316">
        <v>2883</v>
      </c>
      <c r="F47" s="307" t="s">
        <v>6384</v>
      </c>
      <c r="G47" s="292"/>
      <c r="I47" s="292"/>
    </row>
    <row r="48" spans="1:9">
      <c r="A48" s="158">
        <v>26</v>
      </c>
      <c r="B48" s="307" t="s">
        <v>6437</v>
      </c>
      <c r="C48" s="306" t="s">
        <v>6438</v>
      </c>
      <c r="D48" s="316">
        <v>3936</v>
      </c>
      <c r="F48" s="307" t="s">
        <v>6382</v>
      </c>
      <c r="G48" s="292"/>
      <c r="I48" s="292"/>
    </row>
    <row r="49" spans="1:9">
      <c r="A49" s="158">
        <v>27</v>
      </c>
      <c r="B49" s="307" t="s">
        <v>6439</v>
      </c>
      <c r="C49" s="306" t="s">
        <v>6440</v>
      </c>
      <c r="D49" s="316">
        <v>3583</v>
      </c>
      <c r="F49" s="307" t="s">
        <v>6385</v>
      </c>
      <c r="G49" s="292"/>
      <c r="I49" s="292"/>
    </row>
    <row r="50" spans="1:9">
      <c r="A50" s="158">
        <v>28</v>
      </c>
      <c r="B50" s="307" t="s">
        <v>6441</v>
      </c>
      <c r="C50" s="306" t="s">
        <v>6442</v>
      </c>
      <c r="D50" s="316">
        <v>3883</v>
      </c>
      <c r="F50" s="307" t="s">
        <v>6384</v>
      </c>
      <c r="G50" s="292"/>
      <c r="I50" s="292"/>
    </row>
    <row r="51" spans="1:9">
      <c r="A51" s="158">
        <v>29</v>
      </c>
      <c r="B51" s="308" t="s">
        <v>6443</v>
      </c>
      <c r="C51" s="306" t="s">
        <v>6444</v>
      </c>
      <c r="D51" s="316">
        <v>3486</v>
      </c>
      <c r="F51" s="307" t="s">
        <v>6382</v>
      </c>
      <c r="G51" s="292"/>
      <c r="I51" s="292"/>
    </row>
    <row r="52" spans="1:9">
      <c r="A52" s="158">
        <v>30</v>
      </c>
      <c r="B52" s="307" t="s">
        <v>6445</v>
      </c>
      <c r="C52" s="306" t="s">
        <v>6446</v>
      </c>
      <c r="D52" s="316">
        <v>3321</v>
      </c>
      <c r="F52" s="307" t="s">
        <v>6385</v>
      </c>
      <c r="G52" s="292"/>
      <c r="I52" s="292"/>
    </row>
    <row r="53" spans="1:9">
      <c r="A53" s="158">
        <v>31</v>
      </c>
      <c r="B53" s="307" t="s">
        <v>6447</v>
      </c>
      <c r="C53" s="306" t="s">
        <v>6448</v>
      </c>
      <c r="D53" s="316">
        <v>3235</v>
      </c>
      <c r="F53" s="307" t="s">
        <v>6385</v>
      </c>
      <c r="G53" s="292"/>
      <c r="I53" s="292"/>
    </row>
    <row r="54" spans="1:9">
      <c r="A54" s="158">
        <v>32</v>
      </c>
      <c r="B54" s="307" t="s">
        <v>6449</v>
      </c>
      <c r="C54" s="306" t="s">
        <v>6450</v>
      </c>
      <c r="D54" s="316">
        <v>3228</v>
      </c>
      <c r="F54" s="307" t="s">
        <v>6385</v>
      </c>
      <c r="G54" s="292"/>
      <c r="I54" s="292"/>
    </row>
    <row r="55" spans="1:9">
      <c r="A55" s="159">
        <v>33</v>
      </c>
      <c r="B55" s="307" t="s">
        <v>6451</v>
      </c>
      <c r="C55" s="306" t="s">
        <v>6452</v>
      </c>
      <c r="D55" s="316">
        <v>3177</v>
      </c>
      <c r="F55" s="307" t="s">
        <v>6385</v>
      </c>
      <c r="G55" s="292"/>
      <c r="I55" s="292"/>
    </row>
    <row r="56" spans="1:9">
      <c r="A56" s="158">
        <v>34</v>
      </c>
      <c r="B56" s="307" t="s">
        <v>6453</v>
      </c>
      <c r="C56" s="306" t="s">
        <v>6454</v>
      </c>
      <c r="D56" s="316">
        <v>3113</v>
      </c>
      <c r="F56" s="307" t="s">
        <v>6382</v>
      </c>
      <c r="G56" s="292"/>
      <c r="I56" s="292"/>
    </row>
    <row r="57" spans="1:9">
      <c r="A57" s="158">
        <v>35</v>
      </c>
      <c r="B57" s="307" t="s">
        <v>6455</v>
      </c>
      <c r="C57" s="306" t="s">
        <v>6456</v>
      </c>
      <c r="D57" s="316">
        <v>3966</v>
      </c>
      <c r="F57" s="307" t="s">
        <v>6384</v>
      </c>
      <c r="G57" s="292"/>
      <c r="I57" s="292"/>
    </row>
    <row r="58" spans="1:9">
      <c r="A58" s="158">
        <v>36</v>
      </c>
      <c r="B58" s="307" t="s">
        <v>6457</v>
      </c>
      <c r="C58" s="306" t="s">
        <v>6458</v>
      </c>
      <c r="D58" s="316">
        <v>3244</v>
      </c>
      <c r="F58" s="307" t="s">
        <v>6385</v>
      </c>
      <c r="G58" s="292"/>
      <c r="I58" s="292"/>
    </row>
    <row r="59" spans="1:9">
      <c r="A59" s="158">
        <v>37</v>
      </c>
      <c r="B59" s="307" t="s">
        <v>6459</v>
      </c>
      <c r="C59" s="306" t="s">
        <v>6460</v>
      </c>
      <c r="D59" s="316">
        <v>3102</v>
      </c>
      <c r="F59" s="307" t="s">
        <v>6384</v>
      </c>
      <c r="G59" s="292"/>
      <c r="I59" s="292"/>
    </row>
    <row r="60" spans="1:9">
      <c r="A60" s="158">
        <v>38</v>
      </c>
      <c r="B60" s="307" t="s">
        <v>6461</v>
      </c>
      <c r="C60" s="306" t="s">
        <v>6462</v>
      </c>
      <c r="D60" s="316">
        <v>4009</v>
      </c>
      <c r="F60" s="307" t="s">
        <v>6384</v>
      </c>
      <c r="G60" s="292"/>
      <c r="I60" s="292"/>
    </row>
    <row r="61" spans="1:9">
      <c r="A61" s="158">
        <v>39</v>
      </c>
      <c r="B61" s="307" t="s">
        <v>6463</v>
      </c>
      <c r="C61" s="306" t="s">
        <v>6464</v>
      </c>
      <c r="D61" s="316">
        <v>3201</v>
      </c>
      <c r="F61" s="307" t="s">
        <v>6385</v>
      </c>
      <c r="G61" s="292"/>
      <c r="I61" s="292"/>
    </row>
    <row r="62" spans="1:9">
      <c r="A62" s="158">
        <v>40</v>
      </c>
      <c r="B62" s="307" t="s">
        <v>6465</v>
      </c>
      <c r="C62" s="306" t="s">
        <v>6466</v>
      </c>
      <c r="D62" s="316">
        <v>3286</v>
      </c>
      <c r="F62" s="307" t="s">
        <v>6382</v>
      </c>
      <c r="G62" s="292"/>
      <c r="I62" s="292"/>
    </row>
    <row r="63" spans="1:9">
      <c r="A63" s="158">
        <v>41</v>
      </c>
      <c r="B63" s="307" t="s">
        <v>6467</v>
      </c>
      <c r="C63" s="306" t="s">
        <v>6468</v>
      </c>
      <c r="D63" s="316">
        <v>3207</v>
      </c>
      <c r="F63" s="307" t="s">
        <v>6382</v>
      </c>
      <c r="G63" s="292"/>
      <c r="I63" s="292"/>
    </row>
    <row r="64" spans="1:9">
      <c r="A64" s="158">
        <v>42</v>
      </c>
      <c r="B64" s="307" t="s">
        <v>6469</v>
      </c>
      <c r="C64" s="306" t="s">
        <v>6470</v>
      </c>
      <c r="D64" s="316">
        <v>4015</v>
      </c>
      <c r="F64" s="307" t="s">
        <v>6385</v>
      </c>
      <c r="G64" s="292"/>
      <c r="I64" s="292"/>
    </row>
    <row r="65" spans="1:9">
      <c r="A65" s="158">
        <v>43</v>
      </c>
      <c r="B65" s="307" t="s">
        <v>6471</v>
      </c>
      <c r="C65" s="306" t="s">
        <v>6472</v>
      </c>
      <c r="D65" s="316">
        <v>3650</v>
      </c>
      <c r="F65" s="307" t="s">
        <v>6385</v>
      </c>
      <c r="G65" s="292"/>
      <c r="I65" s="292"/>
    </row>
    <row r="66" spans="1:9">
      <c r="A66" s="158">
        <v>44</v>
      </c>
      <c r="B66" s="307" t="s">
        <v>6473</v>
      </c>
      <c r="C66" s="306" t="s">
        <v>6474</v>
      </c>
      <c r="D66" s="316">
        <v>3502</v>
      </c>
      <c r="F66" s="307" t="s">
        <v>6385</v>
      </c>
      <c r="G66" s="292"/>
      <c r="I66" s="292"/>
    </row>
    <row r="67" spans="1:9">
      <c r="A67" s="158">
        <v>45</v>
      </c>
      <c r="B67" s="307" t="s">
        <v>6475</v>
      </c>
      <c r="C67" s="306" t="s">
        <v>6476</v>
      </c>
      <c r="D67" s="316">
        <v>3378</v>
      </c>
      <c r="F67" s="307" t="s">
        <v>6382</v>
      </c>
      <c r="G67" s="292"/>
      <c r="I67" s="292"/>
    </row>
    <row r="68" spans="1:9">
      <c r="A68" s="158">
        <v>46</v>
      </c>
      <c r="B68" s="307" t="s">
        <v>6477</v>
      </c>
      <c r="C68" s="306" t="s">
        <v>6478</v>
      </c>
      <c r="D68" s="316">
        <v>3179</v>
      </c>
      <c r="F68" s="307" t="s">
        <v>6384</v>
      </c>
      <c r="G68" s="292"/>
      <c r="I68" s="292"/>
    </row>
    <row r="69" spans="1:9">
      <c r="A69" s="158">
        <v>47</v>
      </c>
      <c r="B69" s="307" t="s">
        <v>6479</v>
      </c>
      <c r="C69" s="306" t="s">
        <v>6480</v>
      </c>
      <c r="D69" s="316">
        <v>3440</v>
      </c>
      <c r="F69" s="307" t="s">
        <v>6382</v>
      </c>
      <c r="G69" s="292"/>
      <c r="I69" s="292"/>
    </row>
    <row r="70" spans="1:9">
      <c r="A70" s="158">
        <v>48</v>
      </c>
      <c r="B70" s="307" t="s">
        <v>6481</v>
      </c>
      <c r="C70" s="306" t="s">
        <v>6482</v>
      </c>
      <c r="D70" s="316">
        <v>3833</v>
      </c>
      <c r="F70" s="307" t="s">
        <v>6385</v>
      </c>
      <c r="G70" s="292"/>
      <c r="I70" s="292"/>
    </row>
    <row r="71" spans="1:9">
      <c r="A71" s="158">
        <v>49</v>
      </c>
      <c r="B71" s="307" t="s">
        <v>6483</v>
      </c>
      <c r="C71" s="306" t="s">
        <v>6484</v>
      </c>
      <c r="D71" s="316">
        <v>3283</v>
      </c>
      <c r="F71" s="307" t="s">
        <v>6384</v>
      </c>
    </row>
    <row r="72" spans="1:9">
      <c r="A72" s="158">
        <v>50</v>
      </c>
      <c r="B72" s="307" t="s">
        <v>6485</v>
      </c>
      <c r="C72" s="306" t="s">
        <v>6486</v>
      </c>
      <c r="D72" s="316">
        <v>3297</v>
      </c>
      <c r="F72" s="304" t="s">
        <v>6386</v>
      </c>
      <c r="G72" s="292"/>
      <c r="I72" s="292"/>
    </row>
    <row r="73" spans="1:9">
      <c r="A73" s="158">
        <v>51</v>
      </c>
      <c r="B73" s="307" t="s">
        <v>6487</v>
      </c>
      <c r="C73" s="306" t="s">
        <v>6488</v>
      </c>
      <c r="D73" s="316">
        <v>3644</v>
      </c>
      <c r="F73" s="307" t="s">
        <v>6385</v>
      </c>
      <c r="G73" s="292"/>
      <c r="I73" s="292"/>
    </row>
    <row r="74" spans="1:9">
      <c r="A74" s="159">
        <v>52</v>
      </c>
      <c r="B74" s="307" t="s">
        <v>6489</v>
      </c>
      <c r="C74" s="306" t="s">
        <v>6490</v>
      </c>
      <c r="D74" s="316">
        <v>3351</v>
      </c>
      <c r="F74" s="307" t="s">
        <v>6385</v>
      </c>
      <c r="G74" s="292"/>
      <c r="I74" s="292"/>
    </row>
    <row r="75" spans="1:9">
      <c r="A75" s="159">
        <v>53</v>
      </c>
      <c r="B75" s="307" t="s">
        <v>6491</v>
      </c>
      <c r="C75" s="306" t="s">
        <v>6492</v>
      </c>
      <c r="D75" s="316">
        <v>3275</v>
      </c>
      <c r="F75" s="307" t="s">
        <v>6385</v>
      </c>
      <c r="G75" s="292"/>
      <c r="I75" s="292"/>
    </row>
    <row r="76" spans="1:9">
      <c r="A76" s="158">
        <v>54</v>
      </c>
      <c r="B76" s="307" t="s">
        <v>6493</v>
      </c>
      <c r="C76" s="306" t="s">
        <v>6494</v>
      </c>
      <c r="D76" s="316">
        <v>4112</v>
      </c>
      <c r="F76" s="307" t="s">
        <v>6385</v>
      </c>
      <c r="G76" s="292"/>
      <c r="I76" s="292"/>
    </row>
    <row r="77" spans="1:9">
      <c r="A77" s="158">
        <v>55</v>
      </c>
      <c r="B77" s="307" t="s">
        <v>6495</v>
      </c>
      <c r="C77" s="306" t="s">
        <v>6496</v>
      </c>
      <c r="D77" s="316">
        <v>3739</v>
      </c>
      <c r="F77" s="307" t="s">
        <v>6385</v>
      </c>
      <c r="G77" s="292"/>
      <c r="I77" s="292"/>
    </row>
    <row r="78" spans="1:9">
      <c r="A78" s="158">
        <v>56</v>
      </c>
      <c r="B78" s="307" t="s">
        <v>6497</v>
      </c>
      <c r="C78" s="306" t="s">
        <v>6498</v>
      </c>
      <c r="D78" s="316">
        <v>3957</v>
      </c>
      <c r="F78" s="307" t="s">
        <v>6385</v>
      </c>
      <c r="G78" s="292"/>
      <c r="I78" s="292"/>
    </row>
    <row r="79" spans="1:9">
      <c r="A79" s="158">
        <v>57</v>
      </c>
      <c r="B79" s="307" t="s">
        <v>6499</v>
      </c>
      <c r="C79" s="306" t="s">
        <v>6500</v>
      </c>
      <c r="D79" s="316">
        <v>3425</v>
      </c>
      <c r="F79" s="307" t="s">
        <v>6382</v>
      </c>
      <c r="G79" s="292"/>
      <c r="I79" s="292"/>
    </row>
    <row r="80" spans="1:9">
      <c r="A80" s="158">
        <v>58</v>
      </c>
      <c r="B80" s="307" t="s">
        <v>6501</v>
      </c>
      <c r="C80" s="306" t="s">
        <v>6502</v>
      </c>
      <c r="D80" s="316">
        <v>4146</v>
      </c>
      <c r="F80" s="307" t="s">
        <v>6384</v>
      </c>
      <c r="G80" s="292"/>
      <c r="I80" s="292"/>
    </row>
    <row r="81" spans="1:9">
      <c r="A81" s="158">
        <v>59</v>
      </c>
      <c r="B81" s="307" t="s">
        <v>6503</v>
      </c>
      <c r="C81" s="306" t="s">
        <v>6504</v>
      </c>
      <c r="D81" s="316">
        <v>3962</v>
      </c>
      <c r="F81" s="307" t="s">
        <v>6382</v>
      </c>
      <c r="G81" s="292"/>
      <c r="I81" s="292"/>
    </row>
    <row r="82" spans="1:9">
      <c r="A82" s="158">
        <v>60</v>
      </c>
      <c r="B82" s="307" t="s">
        <v>6505</v>
      </c>
      <c r="C82" s="306" t="s">
        <v>6506</v>
      </c>
      <c r="D82" s="316">
        <v>3180</v>
      </c>
      <c r="F82" s="307" t="s">
        <v>6384</v>
      </c>
      <c r="G82" s="292"/>
      <c r="I82" s="292"/>
    </row>
    <row r="83" spans="1:9">
      <c r="A83" s="158">
        <v>61</v>
      </c>
      <c r="B83" s="307" t="s">
        <v>6507</v>
      </c>
      <c r="C83" s="306" t="s">
        <v>6508</v>
      </c>
      <c r="D83" s="316">
        <v>3579</v>
      </c>
      <c r="F83" s="307" t="s">
        <v>6384</v>
      </c>
      <c r="G83" s="292"/>
      <c r="I83" s="292"/>
    </row>
    <row r="84" spans="1:9">
      <c r="A84" s="158">
        <v>62</v>
      </c>
      <c r="B84" s="307" t="s">
        <v>6509</v>
      </c>
      <c r="C84" s="306" t="s">
        <v>6510</v>
      </c>
      <c r="D84" s="316">
        <v>3831</v>
      </c>
      <c r="F84" s="307" t="s">
        <v>6385</v>
      </c>
    </row>
    <row r="85" spans="1:9">
      <c r="A85" s="158">
        <v>63</v>
      </c>
      <c r="B85" s="307" t="s">
        <v>6511</v>
      </c>
      <c r="C85" s="306" t="s">
        <v>6512</v>
      </c>
      <c r="D85" s="316">
        <v>3505</v>
      </c>
      <c r="F85" s="307" t="s">
        <v>6384</v>
      </c>
    </row>
    <row r="86" spans="1:9">
      <c r="A86" s="158">
        <v>64</v>
      </c>
      <c r="B86" s="307" t="s">
        <v>6513</v>
      </c>
      <c r="C86" s="306" t="s">
        <v>6514</v>
      </c>
      <c r="D86" s="316">
        <v>3808</v>
      </c>
      <c r="F86" s="307" t="s">
        <v>6385</v>
      </c>
      <c r="G86" s="292"/>
      <c r="I86" s="292"/>
    </row>
    <row r="87" spans="1:9">
      <c r="A87" s="158">
        <v>65</v>
      </c>
      <c r="B87" s="307" t="s">
        <v>6515</v>
      </c>
      <c r="C87" s="306" t="s">
        <v>6516</v>
      </c>
      <c r="D87" s="316">
        <v>3213</v>
      </c>
      <c r="F87" s="307" t="s">
        <v>6384</v>
      </c>
      <c r="G87" s="292"/>
      <c r="I87" s="292"/>
    </row>
    <row r="88" spans="1:9">
      <c r="A88" s="158">
        <v>66</v>
      </c>
      <c r="B88" s="307" t="s">
        <v>6517</v>
      </c>
      <c r="C88" s="306" t="s">
        <v>6518</v>
      </c>
      <c r="D88" s="316">
        <v>3318</v>
      </c>
      <c r="F88" s="307" t="s">
        <v>6382</v>
      </c>
      <c r="H88" s="307"/>
    </row>
    <row r="89" spans="1:9">
      <c r="A89" s="158"/>
      <c r="B89" s="307"/>
      <c r="C89" s="306"/>
      <c r="D89" s="311"/>
      <c r="F89" s="307"/>
    </row>
    <row r="90" spans="1:9">
      <c r="A90" s="307" t="s">
        <v>6382</v>
      </c>
      <c r="C90" s="306"/>
      <c r="D90" s="310">
        <f>SUM(D23:D27)+SUM(D32:D35)+D37+D38+D48+D51+D56+D62+D63+D67+D69+D79+D81+D88</f>
        <v>74891</v>
      </c>
      <c r="F90" s="307"/>
    </row>
    <row r="91" spans="1:9">
      <c r="A91" s="307" t="s">
        <v>6384</v>
      </c>
      <c r="C91" s="306"/>
      <c r="D91" s="310">
        <f>SUM(D28:D30)+SUM(D40:D47)+D50+D57+D59+D60+D68+D71+D80+D82+D83+D85+D87</f>
        <v>76694</v>
      </c>
    </row>
    <row r="92" spans="1:9">
      <c r="A92" s="307" t="s">
        <v>6385</v>
      </c>
      <c r="C92" s="306"/>
      <c r="D92" s="310">
        <f>D31+D36+D39+D49+SUM(D52:D55)+D58+D61+SUM(D64:D66)+D70+SUM(D73:D78)+D84+D86</f>
        <v>77566</v>
      </c>
    </row>
    <row r="93" spans="1:9">
      <c r="A93" s="304" t="s">
        <v>6519</v>
      </c>
      <c r="C93" s="306"/>
      <c r="D93" s="310">
        <f>D72</f>
        <v>3297</v>
      </c>
    </row>
    <row r="94" spans="1:9">
      <c r="C94" s="306"/>
    </row>
    <row r="95" spans="1:9">
      <c r="A95" s="308" t="s">
        <v>6520</v>
      </c>
      <c r="C95" s="306"/>
    </row>
    <row r="96" spans="1:9">
      <c r="A96" s="308" t="s">
        <v>6521</v>
      </c>
      <c r="C96" s="306"/>
    </row>
    <row r="97" spans="3:3">
      <c r="C97" s="306"/>
    </row>
    <row r="98" spans="3:3">
      <c r="C98" s="306"/>
    </row>
    <row r="99" spans="3:3">
      <c r="C99" s="306"/>
    </row>
    <row r="100" spans="3:3">
      <c r="C100" s="306"/>
    </row>
    <row r="101" spans="3:3">
      <c r="C101" s="306"/>
    </row>
    <row r="102" spans="3:3">
      <c r="C102" s="306"/>
    </row>
    <row r="103" spans="3:3">
      <c r="C103" s="306"/>
    </row>
    <row r="104" spans="3:3">
      <c r="C104" s="306"/>
    </row>
    <row r="105" spans="3:3">
      <c r="C105" s="306"/>
    </row>
    <row r="106" spans="3:3">
      <c r="C106" s="306"/>
    </row>
    <row r="107" spans="3:3">
      <c r="C107" s="306"/>
    </row>
    <row r="108" spans="3:3">
      <c r="C108" s="306"/>
    </row>
    <row r="109" spans="3:3">
      <c r="C109" s="306"/>
    </row>
    <row r="110" spans="3:3">
      <c r="C110" s="306"/>
    </row>
    <row r="111" spans="3:3">
      <c r="C111" s="306"/>
    </row>
    <row r="112" spans="3:3">
      <c r="C112" s="306"/>
    </row>
    <row r="113" spans="3:3">
      <c r="C113" s="306"/>
    </row>
    <row r="114" spans="3:3">
      <c r="C114" s="306"/>
    </row>
    <row r="115" spans="3:3">
      <c r="C115" s="306"/>
    </row>
    <row r="116" spans="3:3">
      <c r="C116" s="306"/>
    </row>
    <row r="117" spans="3:3">
      <c r="C117" s="306"/>
    </row>
    <row r="118" spans="3:3">
      <c r="C118" s="306"/>
    </row>
    <row r="119" spans="3:3">
      <c r="C119" s="306"/>
    </row>
    <row r="120" spans="3:3">
      <c r="C120" s="306"/>
    </row>
    <row r="121" spans="3:3">
      <c r="C121" s="306"/>
    </row>
    <row r="122" spans="3:3">
      <c r="C122" s="306"/>
    </row>
    <row r="123" spans="3:3">
      <c r="C123" s="306"/>
    </row>
    <row r="124" spans="3:3">
      <c r="C124" s="306"/>
    </row>
    <row r="125" spans="3:3">
      <c r="C125" s="306"/>
    </row>
    <row r="126" spans="3:3">
      <c r="C126" s="306"/>
    </row>
    <row r="127" spans="3:3">
      <c r="C127" s="306"/>
    </row>
    <row r="128" spans="3:3">
      <c r="C128" s="306"/>
    </row>
    <row r="129" spans="3:3">
      <c r="C129" s="306"/>
    </row>
    <row r="130" spans="3:3">
      <c r="C130" s="306"/>
    </row>
    <row r="131" spans="3:3">
      <c r="C131" s="306"/>
    </row>
    <row r="132" spans="3:3">
      <c r="C132" s="306"/>
    </row>
    <row r="133" spans="3:3">
      <c r="C133" s="306"/>
    </row>
    <row r="134" spans="3:3">
      <c r="C134" s="306"/>
    </row>
    <row r="135" spans="3:3">
      <c r="C135" s="306"/>
    </row>
    <row r="136" spans="3:3">
      <c r="C136" s="306"/>
    </row>
    <row r="137" spans="3:3">
      <c r="C137" s="306"/>
    </row>
    <row r="138" spans="3:3">
      <c r="C138" s="306"/>
    </row>
    <row r="139" spans="3:3">
      <c r="C139" s="306"/>
    </row>
    <row r="140" spans="3:3">
      <c r="C140" s="306"/>
    </row>
    <row r="141" spans="3:3">
      <c r="C141" s="306"/>
    </row>
    <row r="142" spans="3:3">
      <c r="C142" s="306"/>
    </row>
  </sheetData>
  <printOptions gridLinesSet="0"/>
  <pageMargins left="0.78740157480314965" right="0" top="0.51181102362204722" bottom="0.51181102362204722" header="0.51181102362204722" footer="0.51181102362204722"/>
  <pageSetup paperSize="9" scale="71" orientation="portrait" horizontalDpi="300" verticalDpi="300" r:id="rId1"/>
  <headerFooter alignWithMargins="0">
    <oddFooter>&amp;C&amp;8&amp;P of &amp;N</oddFooter>
  </headerFooter>
  <rowBreaks count="1" manualBreakCount="1">
    <brk id="68" max="4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330"/>
  <sheetViews>
    <sheetView showGridLines="0" zoomScaleNormal="100" workbookViewId="0"/>
  </sheetViews>
  <sheetFormatPr defaultColWidth="12.59765625" defaultRowHeight="14.5"/>
  <cols>
    <col min="1" max="1" width="4.8984375" style="236" customWidth="1"/>
    <col min="2" max="2" width="40.69921875" style="236" customWidth="1"/>
    <col min="3" max="3" width="11.59765625" style="236" customWidth="1"/>
    <col min="4" max="4" width="10" style="236" customWidth="1"/>
    <col min="5" max="5" width="2.296875" style="236" customWidth="1"/>
    <col min="6" max="6" width="38.296875" style="236" customWidth="1"/>
    <col min="7" max="16384" width="12.59765625" style="236"/>
  </cols>
  <sheetData>
    <row r="1" spans="1:17">
      <c r="A1" s="269" t="s">
        <v>1075</v>
      </c>
      <c r="D1" s="270">
        <v>2016</v>
      </c>
    </row>
    <row r="3" spans="1:17">
      <c r="A3" s="269" t="s">
        <v>5591</v>
      </c>
      <c r="D3" s="271">
        <f t="shared" ref="D3" si="0">SUM(D7:D13)</f>
        <v>581650</v>
      </c>
    </row>
    <row r="4" spans="1:17" ht="15" thickBot="1">
      <c r="A4" s="269" t="s">
        <v>5592</v>
      </c>
      <c r="D4" s="272">
        <f>D62</f>
        <v>187371</v>
      </c>
    </row>
    <row r="5" spans="1:17" ht="15" thickBot="1">
      <c r="A5" s="269"/>
      <c r="D5" s="273">
        <f>D3+D4</f>
        <v>769021</v>
      </c>
    </row>
    <row r="6" spans="1:17">
      <c r="A6" s="269"/>
      <c r="D6" s="271"/>
    </row>
    <row r="7" spans="1:17" ht="15" customHeight="1">
      <c r="A7" s="269" t="s">
        <v>5593</v>
      </c>
      <c r="C7" s="269"/>
      <c r="D7" s="271">
        <f t="shared" ref="D7" si="1">D95</f>
        <v>90473</v>
      </c>
      <c r="F7" s="274"/>
    </row>
    <row r="8" spans="1:17">
      <c r="A8" s="269" t="s">
        <v>5594</v>
      </c>
      <c r="C8" s="269"/>
      <c r="D8" s="271">
        <f t="shared" ref="D8" si="2">D128</f>
        <v>83683</v>
      </c>
      <c r="F8" s="274"/>
    </row>
    <row r="9" spans="1:17">
      <c r="A9" s="269" t="s">
        <v>5595</v>
      </c>
      <c r="C9" s="269"/>
      <c r="D9" s="271">
        <f t="shared" ref="D9" si="3">D163</f>
        <v>80641</v>
      </c>
      <c r="F9" s="274"/>
    </row>
    <row r="10" spans="1:17">
      <c r="A10" s="269" t="s">
        <v>5596</v>
      </c>
      <c r="C10" s="269"/>
      <c r="D10" s="271">
        <f t="shared" ref="D10" si="4">D194</f>
        <v>85825</v>
      </c>
      <c r="F10" s="274"/>
    </row>
    <row r="11" spans="1:17">
      <c r="A11" s="269" t="s">
        <v>5597</v>
      </c>
      <c r="C11" s="269"/>
      <c r="D11" s="271">
        <f t="shared" ref="D11" si="5">D223</f>
        <v>74066</v>
      </c>
      <c r="F11" s="274"/>
    </row>
    <row r="12" spans="1:17" s="2" customFormat="1">
      <c r="A12" s="269" t="s">
        <v>5598</v>
      </c>
      <c r="C12" s="269"/>
      <c r="D12" s="271">
        <f t="shared" ref="D12" si="6">D268</f>
        <v>82713</v>
      </c>
      <c r="E12" s="236"/>
      <c r="F12" s="274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</row>
    <row r="13" spans="1:17">
      <c r="A13" s="269" t="s">
        <v>5599</v>
      </c>
      <c r="C13" s="269"/>
      <c r="D13" s="271">
        <f t="shared" ref="D13" si="7">D299</f>
        <v>84249</v>
      </c>
      <c r="F13" s="274"/>
    </row>
    <row r="14" spans="1:17">
      <c r="B14" s="269"/>
      <c r="C14" s="269"/>
      <c r="D14" s="271"/>
      <c r="F14" s="274"/>
    </row>
    <row r="15" spans="1:17">
      <c r="A15" s="269" t="s">
        <v>5600</v>
      </c>
      <c r="D15" s="271">
        <f t="shared" ref="D15" si="8">D120</f>
        <v>65548</v>
      </c>
      <c r="F15" s="269" t="s">
        <v>5601</v>
      </c>
    </row>
    <row r="16" spans="1:17" ht="15" thickBot="1">
      <c r="D16" s="272">
        <f t="shared" ref="D16" si="9">D185</f>
        <v>10870</v>
      </c>
      <c r="F16" s="269" t="s">
        <v>5602</v>
      </c>
    </row>
    <row r="17" spans="1:6" ht="15" thickBot="1">
      <c r="D17" s="272">
        <f t="shared" ref="D17" si="10">D15+D16</f>
        <v>76418</v>
      </c>
    </row>
    <row r="18" spans="1:6">
      <c r="D18" s="275"/>
    </row>
    <row r="19" spans="1:6">
      <c r="A19" s="269" t="s">
        <v>5603</v>
      </c>
      <c r="D19" s="271">
        <f t="shared" ref="D19" si="11">D155</f>
        <v>76764</v>
      </c>
      <c r="F19" s="269" t="s">
        <v>5604</v>
      </c>
    </row>
    <row r="20" spans="1:6">
      <c r="D20" s="275"/>
    </row>
    <row r="21" spans="1:6">
      <c r="A21" s="269" t="s">
        <v>5605</v>
      </c>
      <c r="D21" s="275">
        <f>D121</f>
        <v>24925</v>
      </c>
      <c r="F21" s="269" t="s">
        <v>5601</v>
      </c>
    </row>
    <row r="22" spans="1:6">
      <c r="D22" s="276">
        <f t="shared" ref="D22" si="12">D186</f>
        <v>38158</v>
      </c>
      <c r="F22" s="269" t="s">
        <v>5602</v>
      </c>
    </row>
    <row r="23" spans="1:6" ht="15" thickBot="1">
      <c r="D23" s="272">
        <f>D84</f>
        <v>11620</v>
      </c>
      <c r="F23" s="269" t="s">
        <v>5606</v>
      </c>
    </row>
    <row r="24" spans="1:6" ht="15" thickBot="1">
      <c r="D24" s="272">
        <f>SUM(D21:D23)</f>
        <v>74703</v>
      </c>
      <c r="F24" s="269"/>
    </row>
    <row r="25" spans="1:6">
      <c r="D25" s="275"/>
    </row>
    <row r="26" spans="1:6">
      <c r="A26" s="236" t="s">
        <v>4542</v>
      </c>
      <c r="D26" s="275">
        <f>LEICESTERSHIRE!D41</f>
        <v>55456</v>
      </c>
      <c r="F26" s="236" t="s">
        <v>4531</v>
      </c>
    </row>
    <row r="27" spans="1:6" ht="15" thickBot="1">
      <c r="D27" s="277">
        <f>D326</f>
        <v>17618</v>
      </c>
      <c r="F27" s="269" t="s">
        <v>4543</v>
      </c>
    </row>
    <row r="28" spans="1:6" ht="15" thickBot="1">
      <c r="D28" s="272">
        <f t="shared" ref="D28" si="13">D26+D27</f>
        <v>73074</v>
      </c>
    </row>
    <row r="29" spans="1:6">
      <c r="D29" s="275"/>
    </row>
    <row r="30" spans="1:6">
      <c r="A30" s="269" t="s">
        <v>5607</v>
      </c>
      <c r="D30" s="271">
        <f t="shared" ref="D30" si="14">D261</f>
        <v>74066</v>
      </c>
      <c r="F30" s="269" t="s">
        <v>4080</v>
      </c>
    </row>
    <row r="31" spans="1:6">
      <c r="D31" s="275"/>
    </row>
    <row r="32" spans="1:6">
      <c r="A32" s="269" t="s">
        <v>5608</v>
      </c>
      <c r="D32" s="271">
        <f t="shared" ref="D32" si="15">D156</f>
        <v>6919</v>
      </c>
      <c r="F32" s="269" t="s">
        <v>5604</v>
      </c>
    </row>
    <row r="33" spans="1:6">
      <c r="D33" s="276">
        <f t="shared" ref="D33" si="16">D291</f>
        <v>57499</v>
      </c>
      <c r="F33" s="269" t="s">
        <v>5609</v>
      </c>
    </row>
    <row r="34" spans="1:6" ht="15" thickBot="1">
      <c r="D34" s="272">
        <f t="shared" ref="D34" si="17">D327</f>
        <v>11228</v>
      </c>
      <c r="F34" s="269" t="s">
        <v>4543</v>
      </c>
    </row>
    <row r="35" spans="1:6" ht="15" thickBot="1">
      <c r="D35" s="272">
        <f t="shared" ref="D35" si="18">SUM(D32:D34)</f>
        <v>75646</v>
      </c>
    </row>
    <row r="36" spans="1:6">
      <c r="D36" s="276"/>
    </row>
    <row r="37" spans="1:6">
      <c r="A37" s="269" t="s">
        <v>5610</v>
      </c>
      <c r="D37" s="271">
        <f>D215</f>
        <v>34741</v>
      </c>
      <c r="F37" s="269" t="s">
        <v>5611</v>
      </c>
    </row>
    <row r="38" spans="1:6" ht="15" thickBot="1">
      <c r="D38" s="272">
        <f>D85</f>
        <v>36411</v>
      </c>
      <c r="F38" s="269" t="s">
        <v>5606</v>
      </c>
    </row>
    <row r="39" spans="1:6" ht="15" thickBot="1">
      <c r="A39" s="269"/>
      <c r="D39" s="272">
        <f t="shared" ref="D39" si="19">D37+D38</f>
        <v>71152</v>
      </c>
      <c r="F39" s="269"/>
    </row>
    <row r="40" spans="1:6">
      <c r="D40" s="275"/>
    </row>
    <row r="41" spans="1:6">
      <c r="A41" s="269" t="s">
        <v>5612</v>
      </c>
      <c r="D41" s="271">
        <f>D86</f>
        <v>73828</v>
      </c>
      <c r="F41" s="269" t="s">
        <v>5606</v>
      </c>
    </row>
    <row r="42" spans="1:6">
      <c r="D42" s="275"/>
    </row>
    <row r="43" spans="1:6">
      <c r="A43" s="269" t="s">
        <v>5613</v>
      </c>
      <c r="D43" s="275">
        <f>D187</f>
        <v>31613</v>
      </c>
      <c r="F43" s="269" t="s">
        <v>5602</v>
      </c>
    </row>
    <row r="44" spans="1:6" ht="15" thickBot="1">
      <c r="D44" s="272">
        <f>D87</f>
        <v>45821</v>
      </c>
      <c r="F44" s="269" t="s">
        <v>5606</v>
      </c>
    </row>
    <row r="45" spans="1:6" ht="15" thickBot="1">
      <c r="A45" s="269"/>
      <c r="D45" s="272">
        <f t="shared" ref="D45" si="20">D43+D44</f>
        <v>77434</v>
      </c>
      <c r="F45" s="269"/>
    </row>
    <row r="46" spans="1:6">
      <c r="A46" s="269"/>
      <c r="D46" s="271"/>
      <c r="F46" s="269"/>
    </row>
    <row r="47" spans="1:6">
      <c r="A47" s="269" t="s">
        <v>5614</v>
      </c>
      <c r="D47" s="271">
        <f t="shared" ref="D47" si="21">D216</f>
        <v>51084</v>
      </c>
      <c r="F47" s="269" t="s">
        <v>5611</v>
      </c>
    </row>
    <row r="48" spans="1:6" ht="15" thickBot="1">
      <c r="D48" s="272">
        <f t="shared" ref="D48" si="22">D292</f>
        <v>25214</v>
      </c>
      <c r="F48" s="269" t="s">
        <v>5609</v>
      </c>
    </row>
    <row r="49" spans="1:6" ht="15" thickBot="1">
      <c r="D49" s="272">
        <f>D47+D48</f>
        <v>76298</v>
      </c>
    </row>
    <row r="50" spans="1:6">
      <c r="D50" s="276"/>
    </row>
    <row r="51" spans="1:6">
      <c r="A51" s="269" t="s">
        <v>5615</v>
      </c>
      <c r="D51" s="271">
        <f>D88</f>
        <v>19691</v>
      </c>
      <c r="F51" s="269" t="s">
        <v>5606</v>
      </c>
    </row>
    <row r="52" spans="1:6" ht="15" thickBot="1">
      <c r="D52" s="272">
        <f>D328</f>
        <v>55403</v>
      </c>
      <c r="F52" s="269" t="s">
        <v>4543</v>
      </c>
    </row>
    <row r="53" spans="1:6" ht="15" thickBot="1">
      <c r="A53" s="269"/>
      <c r="D53" s="272">
        <f t="shared" ref="D53" si="23">D51+D52</f>
        <v>75094</v>
      </c>
      <c r="F53" s="269"/>
    </row>
    <row r="54" spans="1:6">
      <c r="D54" s="276"/>
    </row>
    <row r="55" spans="1:6">
      <c r="A55" s="269" t="s">
        <v>1041</v>
      </c>
      <c r="D55" s="271">
        <f>D17+D19+D24+D27+D30+D35+D39+D41+D45+D49+D53</f>
        <v>769021</v>
      </c>
    </row>
    <row r="56" spans="1:6">
      <c r="D56" s="275"/>
    </row>
    <row r="57" spans="1:6">
      <c r="A57" s="269" t="s">
        <v>5616</v>
      </c>
      <c r="D57" s="278"/>
    </row>
    <row r="58" spans="1:6">
      <c r="A58" s="269"/>
      <c r="D58" s="278"/>
    </row>
    <row r="59" spans="1:6">
      <c r="A59" s="269"/>
      <c r="D59" s="278"/>
    </row>
    <row r="60" spans="1:6">
      <c r="A60" s="269"/>
      <c r="D60" s="10" t="s">
        <v>285</v>
      </c>
      <c r="E60" s="38"/>
      <c r="F60" s="38" t="s">
        <v>4116</v>
      </c>
    </row>
    <row r="61" spans="1:6">
      <c r="A61" s="269"/>
      <c r="D61" s="236">
        <v>2016</v>
      </c>
      <c r="E61" s="38"/>
      <c r="F61" s="41" t="s">
        <v>286</v>
      </c>
    </row>
    <row r="62" spans="1:6">
      <c r="A62" s="269" t="s">
        <v>5592</v>
      </c>
      <c r="D62" s="271">
        <f>SUM(D63:D82)</f>
        <v>187371</v>
      </c>
    </row>
    <row r="63" spans="1:6">
      <c r="A63" s="269" t="s">
        <v>812</v>
      </c>
      <c r="B63" s="269" t="s">
        <v>3910</v>
      </c>
      <c r="C63" s="1" t="s">
        <v>5617</v>
      </c>
      <c r="D63" s="7">
        <v>6187</v>
      </c>
      <c r="F63" s="269" t="s">
        <v>5610</v>
      </c>
    </row>
    <row r="64" spans="1:6">
      <c r="A64" s="269" t="s">
        <v>813</v>
      </c>
      <c r="B64" s="269" t="s">
        <v>5618</v>
      </c>
      <c r="C64" s="1" t="s">
        <v>5619</v>
      </c>
      <c r="D64" s="7">
        <v>9855</v>
      </c>
      <c r="F64" s="269" t="s">
        <v>5612</v>
      </c>
    </row>
    <row r="65" spans="1:6">
      <c r="A65" s="269" t="s">
        <v>814</v>
      </c>
      <c r="B65" s="269" t="s">
        <v>5620</v>
      </c>
      <c r="C65" s="1" t="s">
        <v>5621</v>
      </c>
      <c r="D65" s="7">
        <v>10921</v>
      </c>
      <c r="F65" s="269" t="s">
        <v>5612</v>
      </c>
    </row>
    <row r="66" spans="1:6">
      <c r="A66" s="269" t="s">
        <v>815</v>
      </c>
      <c r="B66" s="269" t="s">
        <v>5622</v>
      </c>
      <c r="C66" s="1" t="s">
        <v>5623</v>
      </c>
      <c r="D66" s="7">
        <v>10694</v>
      </c>
      <c r="F66" s="269" t="s">
        <v>5612</v>
      </c>
    </row>
    <row r="67" spans="1:6">
      <c r="A67" s="269" t="s">
        <v>816</v>
      </c>
      <c r="B67" s="269" t="s">
        <v>5624</v>
      </c>
      <c r="C67" s="1" t="s">
        <v>5625</v>
      </c>
      <c r="D67" s="7">
        <v>11216</v>
      </c>
      <c r="F67" s="269" t="s">
        <v>5612</v>
      </c>
    </row>
    <row r="68" spans="1:6">
      <c r="A68" s="269" t="s">
        <v>826</v>
      </c>
      <c r="B68" s="269" t="s">
        <v>5626</v>
      </c>
      <c r="C68" s="1" t="s">
        <v>5627</v>
      </c>
      <c r="D68" s="7">
        <v>11620</v>
      </c>
      <c r="F68" s="269" t="s">
        <v>5605</v>
      </c>
    </row>
    <row r="69" spans="1:6">
      <c r="A69" s="269" t="s">
        <v>827</v>
      </c>
      <c r="B69" s="269" t="s">
        <v>5628</v>
      </c>
      <c r="C69" s="1" t="s">
        <v>5629</v>
      </c>
      <c r="D69" s="7">
        <v>8188</v>
      </c>
      <c r="F69" s="269" t="s">
        <v>5613</v>
      </c>
    </row>
    <row r="70" spans="1:6">
      <c r="A70" s="269" t="s">
        <v>828</v>
      </c>
      <c r="B70" s="269" t="s">
        <v>5630</v>
      </c>
      <c r="C70" s="1" t="s">
        <v>5631</v>
      </c>
      <c r="D70" s="7">
        <v>10988</v>
      </c>
      <c r="F70" s="269" t="s">
        <v>5612</v>
      </c>
    </row>
    <row r="71" spans="1:6">
      <c r="A71" s="269" t="s">
        <v>829</v>
      </c>
      <c r="B71" s="269" t="s">
        <v>5632</v>
      </c>
      <c r="C71" s="1" t="s">
        <v>5633</v>
      </c>
      <c r="D71" s="7">
        <v>10127</v>
      </c>
      <c r="F71" s="269" t="s">
        <v>5612</v>
      </c>
    </row>
    <row r="72" spans="1:6">
      <c r="A72" s="269" t="s">
        <v>830</v>
      </c>
      <c r="B72" s="269" t="s">
        <v>5634</v>
      </c>
      <c r="C72" s="1" t="s">
        <v>5635</v>
      </c>
      <c r="D72" s="7">
        <v>9537</v>
      </c>
      <c r="F72" s="269" t="s">
        <v>5615</v>
      </c>
    </row>
    <row r="73" spans="1:6">
      <c r="A73" s="269" t="s">
        <v>831</v>
      </c>
      <c r="B73" s="269" t="s">
        <v>5636</v>
      </c>
      <c r="C73" s="1" t="s">
        <v>5637</v>
      </c>
      <c r="D73" s="7">
        <v>10154</v>
      </c>
      <c r="F73" s="269" t="s">
        <v>5615</v>
      </c>
    </row>
    <row r="74" spans="1:6">
      <c r="A74" s="269" t="s">
        <v>832</v>
      </c>
      <c r="B74" s="269" t="s">
        <v>5638</v>
      </c>
      <c r="C74" s="1" t="s">
        <v>5639</v>
      </c>
      <c r="D74" s="7">
        <v>10035</v>
      </c>
      <c r="F74" s="269" t="s">
        <v>5610</v>
      </c>
    </row>
    <row r="75" spans="1:6">
      <c r="A75" s="269" t="s">
        <v>833</v>
      </c>
      <c r="B75" s="269" t="s">
        <v>5640</v>
      </c>
      <c r="C75" s="1" t="s">
        <v>5641</v>
      </c>
      <c r="D75" s="8">
        <v>5005</v>
      </c>
      <c r="F75" s="269" t="s">
        <v>5613</v>
      </c>
    </row>
    <row r="76" spans="1:6">
      <c r="A76" s="269" t="s">
        <v>834</v>
      </c>
      <c r="B76" s="269" t="s">
        <v>5642</v>
      </c>
      <c r="C76" s="1" t="s">
        <v>5643</v>
      </c>
      <c r="D76" s="8">
        <v>7038</v>
      </c>
      <c r="F76" s="269" t="s">
        <v>5613</v>
      </c>
    </row>
    <row r="77" spans="1:6">
      <c r="A77" s="269" t="s">
        <v>835</v>
      </c>
      <c r="B77" s="269" t="s">
        <v>5644</v>
      </c>
      <c r="C77" s="1" t="s">
        <v>5645</v>
      </c>
      <c r="D77" s="7">
        <v>9964</v>
      </c>
      <c r="F77" s="269" t="s">
        <v>5610</v>
      </c>
    </row>
    <row r="78" spans="1:6">
      <c r="A78" s="269" t="s">
        <v>836</v>
      </c>
      <c r="B78" s="269" t="s">
        <v>5646</v>
      </c>
      <c r="C78" s="1" t="s">
        <v>5647</v>
      </c>
      <c r="D78" s="8">
        <v>10339</v>
      </c>
      <c r="F78" s="269" t="s">
        <v>5613</v>
      </c>
    </row>
    <row r="79" spans="1:6">
      <c r="A79" s="279">
        <v>17</v>
      </c>
      <c r="B79" s="269" t="s">
        <v>5648</v>
      </c>
      <c r="C79" s="1" t="s">
        <v>5649</v>
      </c>
      <c r="D79" s="7">
        <v>10225</v>
      </c>
      <c r="F79" s="269" t="s">
        <v>5610</v>
      </c>
    </row>
    <row r="80" spans="1:6">
      <c r="A80" s="279">
        <v>18</v>
      </c>
      <c r="B80" s="269" t="s">
        <v>5650</v>
      </c>
      <c r="C80" s="1" t="s">
        <v>5651</v>
      </c>
      <c r="D80" s="7">
        <v>10027</v>
      </c>
      <c r="F80" s="269" t="s">
        <v>5612</v>
      </c>
    </row>
    <row r="81" spans="1:9">
      <c r="A81" s="269" t="s">
        <v>840</v>
      </c>
      <c r="B81" s="269" t="s">
        <v>5652</v>
      </c>
      <c r="C81" s="1" t="s">
        <v>5653</v>
      </c>
      <c r="D81" s="8">
        <v>4488</v>
      </c>
      <c r="F81" s="269" t="s">
        <v>5613</v>
      </c>
    </row>
    <row r="82" spans="1:9">
      <c r="A82" s="269" t="s">
        <v>841</v>
      </c>
      <c r="B82" s="269" t="s">
        <v>5654</v>
      </c>
      <c r="C82" s="1" t="s">
        <v>5655</v>
      </c>
      <c r="D82" s="8">
        <v>10763</v>
      </c>
      <c r="F82" s="269" t="s">
        <v>5613</v>
      </c>
    </row>
    <row r="83" spans="1:9">
      <c r="D83" s="280"/>
    </row>
    <row r="84" spans="1:9">
      <c r="A84" s="269" t="s">
        <v>5656</v>
      </c>
      <c r="D84" s="280">
        <f>D68</f>
        <v>11620</v>
      </c>
    </row>
    <row r="85" spans="1:9">
      <c r="A85" s="269" t="s">
        <v>5610</v>
      </c>
      <c r="B85" s="269"/>
      <c r="C85" s="269"/>
      <c r="D85" s="271">
        <f>D63+D74+D77+D79</f>
        <v>36411</v>
      </c>
    </row>
    <row r="86" spans="1:9">
      <c r="A86" s="269" t="s">
        <v>5612</v>
      </c>
      <c r="D86" s="271">
        <f>SUM(D64:D67)+D70+D71+D80</f>
        <v>73828</v>
      </c>
    </row>
    <row r="87" spans="1:9">
      <c r="A87" s="269" t="s">
        <v>5657</v>
      </c>
      <c r="D87" s="271">
        <f>D69+D75+D76+D78+D81+D82</f>
        <v>45821</v>
      </c>
    </row>
    <row r="88" spans="1:9">
      <c r="A88" s="269" t="s">
        <v>5658</v>
      </c>
      <c r="D88" s="271">
        <f>D72+D73</f>
        <v>19691</v>
      </c>
    </row>
    <row r="89" spans="1:9">
      <c r="A89" s="269"/>
      <c r="D89" s="278"/>
    </row>
    <row r="90" spans="1:9">
      <c r="A90" s="269" t="s">
        <v>5659</v>
      </c>
      <c r="D90" s="278"/>
    </row>
    <row r="91" spans="1:9">
      <c r="A91" s="269"/>
      <c r="D91" s="278"/>
    </row>
    <row r="93" spans="1:9">
      <c r="D93" s="10" t="s">
        <v>285</v>
      </c>
      <c r="E93" s="38"/>
      <c r="F93" s="38" t="s">
        <v>4116</v>
      </c>
    </row>
    <row r="94" spans="1:9">
      <c r="D94" s="236">
        <v>2016</v>
      </c>
      <c r="E94" s="38"/>
      <c r="F94" s="41" t="s">
        <v>286</v>
      </c>
    </row>
    <row r="95" spans="1:9">
      <c r="A95" s="269" t="s">
        <v>5660</v>
      </c>
      <c r="C95" s="269"/>
      <c r="D95" s="271">
        <f t="shared" ref="D95" si="24">SUM(D96:D118)</f>
        <v>90473</v>
      </c>
    </row>
    <row r="96" spans="1:9">
      <c r="A96" s="269" t="s">
        <v>812</v>
      </c>
      <c r="B96" s="269" t="s">
        <v>5661</v>
      </c>
      <c r="C96" s="1" t="s">
        <v>5662</v>
      </c>
      <c r="D96" s="7">
        <v>2305</v>
      </c>
      <c r="F96" s="269" t="s">
        <v>5600</v>
      </c>
      <c r="G96" s="1"/>
      <c r="I96" s="1"/>
    </row>
    <row r="97" spans="1:9">
      <c r="A97" s="269" t="s">
        <v>813</v>
      </c>
      <c r="B97" s="269" t="s">
        <v>5663</v>
      </c>
      <c r="C97" s="1" t="s">
        <v>5664</v>
      </c>
      <c r="D97" s="7">
        <v>5673</v>
      </c>
      <c r="F97" s="269" t="s">
        <v>5600</v>
      </c>
      <c r="G97" s="1"/>
      <c r="I97" s="1"/>
    </row>
    <row r="98" spans="1:9">
      <c r="A98" s="269" t="s">
        <v>814</v>
      </c>
      <c r="B98" s="269" t="s">
        <v>5665</v>
      </c>
      <c r="C98" s="1" t="s">
        <v>5666</v>
      </c>
      <c r="D98" s="7">
        <v>2869</v>
      </c>
      <c r="F98" s="269" t="s">
        <v>5600</v>
      </c>
      <c r="G98" s="1"/>
      <c r="I98" s="1"/>
    </row>
    <row r="99" spans="1:9">
      <c r="A99" s="269" t="s">
        <v>815</v>
      </c>
      <c r="B99" s="269" t="s">
        <v>5667</v>
      </c>
      <c r="C99" s="1" t="s">
        <v>5668</v>
      </c>
      <c r="D99" s="7">
        <v>2761</v>
      </c>
      <c r="F99" s="269" t="s">
        <v>5600</v>
      </c>
      <c r="G99" s="1"/>
      <c r="I99" s="1"/>
    </row>
    <row r="100" spans="1:9">
      <c r="A100" s="269" t="s">
        <v>816</v>
      </c>
      <c r="B100" s="269" t="s">
        <v>5669</v>
      </c>
      <c r="C100" s="1" t="s">
        <v>5670</v>
      </c>
      <c r="D100" s="7">
        <v>4949</v>
      </c>
      <c r="F100" s="269" t="s">
        <v>5600</v>
      </c>
      <c r="G100" s="1"/>
      <c r="I100" s="1"/>
    </row>
    <row r="101" spans="1:9">
      <c r="A101" s="269" t="s">
        <v>826</v>
      </c>
      <c r="B101" s="269" t="s">
        <v>5671</v>
      </c>
      <c r="C101" s="1" t="s">
        <v>5672</v>
      </c>
      <c r="D101" s="8">
        <v>5183</v>
      </c>
      <c r="F101" s="269" t="s">
        <v>5605</v>
      </c>
      <c r="G101" s="1"/>
      <c r="I101" s="1"/>
    </row>
    <row r="102" spans="1:9">
      <c r="A102" s="269" t="s">
        <v>827</v>
      </c>
      <c r="B102" s="269" t="s">
        <v>5673</v>
      </c>
      <c r="C102" s="1" t="s">
        <v>5674</v>
      </c>
      <c r="D102" s="8">
        <v>7490</v>
      </c>
      <c r="F102" s="269" t="s">
        <v>5605</v>
      </c>
      <c r="G102" s="1"/>
      <c r="I102" s="1"/>
    </row>
    <row r="103" spans="1:9">
      <c r="A103" s="269" t="s">
        <v>828</v>
      </c>
      <c r="B103" s="269" t="s">
        <v>5675</v>
      </c>
      <c r="C103" s="1" t="s">
        <v>5676</v>
      </c>
      <c r="D103" s="8">
        <v>5321</v>
      </c>
      <c r="F103" s="269" t="s">
        <v>5605</v>
      </c>
      <c r="G103" s="1"/>
      <c r="I103" s="1"/>
    </row>
    <row r="104" spans="1:9">
      <c r="A104" s="269" t="s">
        <v>829</v>
      </c>
      <c r="B104" s="269" t="s">
        <v>5677</v>
      </c>
      <c r="C104" s="1" t="s">
        <v>5678</v>
      </c>
      <c r="D104" s="8">
        <v>6931</v>
      </c>
      <c r="F104" s="269" t="s">
        <v>5605</v>
      </c>
      <c r="G104" s="1"/>
      <c r="I104" s="1"/>
    </row>
    <row r="105" spans="1:9">
      <c r="A105" s="269" t="s">
        <v>830</v>
      </c>
      <c r="B105" s="269" t="s">
        <v>5679</v>
      </c>
      <c r="C105" s="1" t="s">
        <v>5680</v>
      </c>
      <c r="D105" s="7">
        <v>5513</v>
      </c>
      <c r="F105" s="269" t="s">
        <v>5600</v>
      </c>
      <c r="G105" s="1"/>
      <c r="I105" s="1"/>
    </row>
    <row r="106" spans="1:9">
      <c r="A106" s="269" t="s">
        <v>831</v>
      </c>
      <c r="B106" s="269" t="s">
        <v>5681</v>
      </c>
      <c r="C106" s="1" t="s">
        <v>5682</v>
      </c>
      <c r="D106" s="7">
        <v>2611</v>
      </c>
      <c r="F106" s="269" t="s">
        <v>5600</v>
      </c>
      <c r="G106" s="1"/>
      <c r="I106" s="1"/>
    </row>
    <row r="107" spans="1:9">
      <c r="A107" s="269" t="s">
        <v>832</v>
      </c>
      <c r="B107" s="269" t="s">
        <v>5683</v>
      </c>
      <c r="C107" s="1" t="s">
        <v>5684</v>
      </c>
      <c r="D107" s="7">
        <v>2391</v>
      </c>
      <c r="F107" s="269" t="s">
        <v>5600</v>
      </c>
      <c r="G107" s="1"/>
      <c r="I107" s="1"/>
    </row>
    <row r="108" spans="1:9">
      <c r="A108" s="269" t="s">
        <v>833</v>
      </c>
      <c r="B108" s="269" t="s">
        <v>5685</v>
      </c>
      <c r="C108" s="1" t="s">
        <v>5686</v>
      </c>
      <c r="D108" s="7">
        <v>2984</v>
      </c>
      <c r="F108" s="269" t="s">
        <v>5600</v>
      </c>
      <c r="G108" s="1"/>
      <c r="I108" s="1"/>
    </row>
    <row r="109" spans="1:9">
      <c r="A109" s="269" t="s">
        <v>834</v>
      </c>
      <c r="B109" s="269" t="s">
        <v>5687</v>
      </c>
      <c r="C109" s="1" t="s">
        <v>5688</v>
      </c>
      <c r="D109" s="7">
        <v>2619</v>
      </c>
      <c r="F109" s="269" t="s">
        <v>5600</v>
      </c>
      <c r="G109" s="1"/>
      <c r="I109" s="1"/>
    </row>
    <row r="110" spans="1:9">
      <c r="A110" s="269" t="s">
        <v>835</v>
      </c>
      <c r="B110" s="269" t="s">
        <v>5689</v>
      </c>
      <c r="C110" s="1" t="s">
        <v>5690</v>
      </c>
      <c r="D110" s="7">
        <v>2647</v>
      </c>
      <c r="F110" s="269" t="s">
        <v>5600</v>
      </c>
      <c r="G110" s="1"/>
      <c r="I110" s="1"/>
    </row>
    <row r="111" spans="1:9">
      <c r="A111" s="269" t="s">
        <v>836</v>
      </c>
      <c r="B111" s="269" t="s">
        <v>5043</v>
      </c>
      <c r="C111" s="1" t="s">
        <v>5691</v>
      </c>
      <c r="D111" s="7">
        <v>2814</v>
      </c>
      <c r="F111" s="269" t="s">
        <v>5600</v>
      </c>
      <c r="G111" s="1"/>
      <c r="I111" s="1"/>
    </row>
    <row r="112" spans="1:9">
      <c r="A112" s="269" t="s">
        <v>837</v>
      </c>
      <c r="B112" s="269" t="s">
        <v>5692</v>
      </c>
      <c r="C112" s="1" t="s">
        <v>5693</v>
      </c>
      <c r="D112" s="7">
        <v>5063</v>
      </c>
      <c r="F112" s="269" t="s">
        <v>5600</v>
      </c>
      <c r="G112" s="1"/>
      <c r="I112" s="1"/>
    </row>
    <row r="113" spans="1:9">
      <c r="A113" s="269" t="s">
        <v>838</v>
      </c>
      <c r="B113" s="269" t="s">
        <v>5694</v>
      </c>
      <c r="C113" s="1" t="s">
        <v>5695</v>
      </c>
      <c r="D113" s="7">
        <v>5261</v>
      </c>
      <c r="F113" s="269" t="s">
        <v>5600</v>
      </c>
      <c r="G113" s="1"/>
      <c r="I113" s="1"/>
    </row>
    <row r="114" spans="1:9">
      <c r="A114" s="269" t="s">
        <v>840</v>
      </c>
      <c r="B114" s="236" t="s">
        <v>5696</v>
      </c>
      <c r="C114" s="1" t="s">
        <v>5697</v>
      </c>
      <c r="D114" s="7">
        <v>2333</v>
      </c>
      <c r="F114" s="269" t="s">
        <v>5600</v>
      </c>
      <c r="G114" s="1"/>
      <c r="I114" s="1"/>
    </row>
    <row r="115" spans="1:9">
      <c r="A115" s="269" t="s">
        <v>841</v>
      </c>
      <c r="B115" s="236" t="s">
        <v>5698</v>
      </c>
      <c r="C115" s="1" t="s">
        <v>5699</v>
      </c>
      <c r="D115" s="8">
        <v>5061</v>
      </c>
      <c r="F115" s="269" t="s">
        <v>5600</v>
      </c>
      <c r="G115" s="1"/>
      <c r="I115" s="1"/>
    </row>
    <row r="116" spans="1:9">
      <c r="A116" s="269" t="s">
        <v>878</v>
      </c>
      <c r="B116" s="236" t="s">
        <v>5700</v>
      </c>
      <c r="C116" s="1" t="s">
        <v>5701</v>
      </c>
      <c r="D116" s="8">
        <v>2698</v>
      </c>
      <c r="F116" s="269" t="s">
        <v>5600</v>
      </c>
      <c r="G116" s="1"/>
      <c r="I116" s="1"/>
    </row>
    <row r="117" spans="1:9">
      <c r="A117" s="269" t="s">
        <v>879</v>
      </c>
      <c r="B117" s="236" t="s">
        <v>5702</v>
      </c>
      <c r="C117" s="1" t="s">
        <v>5703</v>
      </c>
      <c r="D117" s="8">
        <v>2381</v>
      </c>
      <c r="F117" s="269" t="s">
        <v>5600</v>
      </c>
      <c r="G117" s="1"/>
      <c r="I117" s="1"/>
    </row>
    <row r="118" spans="1:9">
      <c r="A118" s="269" t="s">
        <v>880</v>
      </c>
      <c r="B118" s="269" t="s">
        <v>5704</v>
      </c>
      <c r="C118" s="1" t="s">
        <v>5705</v>
      </c>
      <c r="D118" s="8">
        <v>2615</v>
      </c>
      <c r="F118" s="269" t="s">
        <v>5600</v>
      </c>
      <c r="G118" s="1"/>
      <c r="I118" s="1"/>
    </row>
    <row r="119" spans="1:9">
      <c r="A119" s="269" t="s">
        <v>5706</v>
      </c>
      <c r="D119" s="275"/>
    </row>
    <row r="120" spans="1:9">
      <c r="A120" s="269" t="s">
        <v>5707</v>
      </c>
      <c r="D120" s="271">
        <f t="shared" ref="D120" si="25">SUM(D96:D100)+SUM(D105:D118)</f>
        <v>65548</v>
      </c>
    </row>
    <row r="121" spans="1:9">
      <c r="A121" s="269" t="s">
        <v>5656</v>
      </c>
      <c r="D121" s="271">
        <f t="shared" ref="D121" si="26">SUM(D101:D104)</f>
        <v>24925</v>
      </c>
    </row>
    <row r="122" spans="1:9">
      <c r="A122" s="269"/>
      <c r="D122" s="271"/>
    </row>
    <row r="123" spans="1:9">
      <c r="A123" s="269" t="s">
        <v>5708</v>
      </c>
      <c r="D123" s="271"/>
    </row>
    <row r="124" spans="1:9">
      <c r="A124" s="269"/>
      <c r="B124" s="269"/>
      <c r="D124" s="281"/>
    </row>
    <row r="125" spans="1:9">
      <c r="A125" s="269"/>
      <c r="B125" s="269"/>
      <c r="D125" s="281"/>
    </row>
    <row r="126" spans="1:9">
      <c r="D126" s="10" t="s">
        <v>285</v>
      </c>
      <c r="E126" s="38"/>
      <c r="F126" s="38" t="s">
        <v>4116</v>
      </c>
    </row>
    <row r="127" spans="1:9">
      <c r="D127" s="236">
        <v>2016</v>
      </c>
      <c r="E127" s="38"/>
      <c r="F127" s="41" t="s">
        <v>286</v>
      </c>
    </row>
    <row r="128" spans="1:9">
      <c r="A128" s="269" t="s">
        <v>5709</v>
      </c>
      <c r="D128" s="271">
        <f t="shared" ref="D128" si="27">SUM(D129:D145)+SUM(D146:D147)+SUM(D148:D153)</f>
        <v>83683</v>
      </c>
    </row>
    <row r="129" spans="1:9">
      <c r="A129" s="269" t="s">
        <v>812</v>
      </c>
      <c r="B129" s="269" t="s">
        <v>5710</v>
      </c>
      <c r="C129" s="1" t="s">
        <v>5711</v>
      </c>
      <c r="D129" s="7">
        <v>1863</v>
      </c>
      <c r="F129" s="269" t="s">
        <v>5603</v>
      </c>
      <c r="G129" s="1"/>
      <c r="I129" s="1"/>
    </row>
    <row r="130" spans="1:9">
      <c r="A130" s="269" t="s">
        <v>813</v>
      </c>
      <c r="B130" s="269" t="s">
        <v>5712</v>
      </c>
      <c r="C130" s="1" t="s">
        <v>5713</v>
      </c>
      <c r="D130" s="7">
        <v>1817</v>
      </c>
      <c r="F130" s="269" t="s">
        <v>5603</v>
      </c>
      <c r="G130" s="1"/>
      <c r="I130" s="1"/>
    </row>
    <row r="131" spans="1:9">
      <c r="A131" s="269" t="s">
        <v>814</v>
      </c>
      <c r="B131" s="269" t="s">
        <v>5714</v>
      </c>
      <c r="C131" s="1" t="s">
        <v>5715</v>
      </c>
      <c r="D131" s="7">
        <v>4437</v>
      </c>
      <c r="F131" s="269" t="s">
        <v>5603</v>
      </c>
      <c r="G131" s="1"/>
      <c r="I131" s="1"/>
    </row>
    <row r="132" spans="1:9">
      <c r="A132" s="269" t="s">
        <v>815</v>
      </c>
      <c r="B132" s="269" t="s">
        <v>5716</v>
      </c>
      <c r="C132" s="1" t="s">
        <v>5717</v>
      </c>
      <c r="D132" s="7">
        <v>1505</v>
      </c>
      <c r="F132" s="269" t="s">
        <v>5603</v>
      </c>
      <c r="G132" s="1"/>
      <c r="I132" s="1"/>
    </row>
    <row r="133" spans="1:9">
      <c r="A133" s="269" t="s">
        <v>816</v>
      </c>
      <c r="B133" s="269" t="s">
        <v>5718</v>
      </c>
      <c r="C133" s="1" t="s">
        <v>5719</v>
      </c>
      <c r="D133" s="8">
        <v>1929</v>
      </c>
      <c r="F133" s="269" t="s">
        <v>5608</v>
      </c>
      <c r="G133" s="1"/>
      <c r="I133" s="1"/>
    </row>
    <row r="134" spans="1:9">
      <c r="A134" s="269" t="s">
        <v>826</v>
      </c>
      <c r="B134" s="269" t="s">
        <v>5720</v>
      </c>
      <c r="C134" s="1" t="s">
        <v>5721</v>
      </c>
      <c r="D134" s="7">
        <v>5273</v>
      </c>
      <c r="F134" s="269" t="s">
        <v>5603</v>
      </c>
      <c r="G134" s="1"/>
      <c r="I134" s="1"/>
    </row>
    <row r="135" spans="1:9">
      <c r="A135" s="269" t="s">
        <v>827</v>
      </c>
      <c r="B135" s="269" t="s">
        <v>5722</v>
      </c>
      <c r="C135" s="1" t="s">
        <v>5723</v>
      </c>
      <c r="D135" s="7">
        <v>4887</v>
      </c>
      <c r="F135" s="269" t="s">
        <v>5603</v>
      </c>
      <c r="G135" s="1"/>
      <c r="I135" s="1"/>
    </row>
    <row r="136" spans="1:9">
      <c r="A136" s="269" t="s">
        <v>828</v>
      </c>
      <c r="B136" s="269" t="s">
        <v>5724</v>
      </c>
      <c r="C136" s="1" t="s">
        <v>5725</v>
      </c>
      <c r="D136" s="7">
        <v>3515</v>
      </c>
      <c r="F136" s="269" t="s">
        <v>5603</v>
      </c>
      <c r="G136" s="1"/>
      <c r="I136" s="1"/>
    </row>
    <row r="137" spans="1:9">
      <c r="A137" s="269" t="s">
        <v>829</v>
      </c>
      <c r="B137" s="269" t="s">
        <v>5726</v>
      </c>
      <c r="C137" s="1" t="s">
        <v>5727</v>
      </c>
      <c r="D137" s="7">
        <v>3483</v>
      </c>
      <c r="F137" s="269" t="s">
        <v>5603</v>
      </c>
      <c r="G137" s="1"/>
      <c r="I137" s="1"/>
    </row>
    <row r="138" spans="1:9">
      <c r="A138" s="269" t="s">
        <v>830</v>
      </c>
      <c r="B138" s="269" t="s">
        <v>5728</v>
      </c>
      <c r="C138" s="1" t="s">
        <v>5729</v>
      </c>
      <c r="D138" s="7">
        <v>1898</v>
      </c>
      <c r="F138" s="269" t="s">
        <v>5603</v>
      </c>
      <c r="G138" s="1"/>
      <c r="I138" s="1"/>
    </row>
    <row r="139" spans="1:9">
      <c r="A139" s="269" t="s">
        <v>831</v>
      </c>
      <c r="B139" s="269" t="s">
        <v>5730</v>
      </c>
      <c r="C139" s="1" t="s">
        <v>5731</v>
      </c>
      <c r="D139" s="7">
        <v>5726</v>
      </c>
      <c r="F139" s="269" t="s">
        <v>5603</v>
      </c>
      <c r="G139" s="1"/>
      <c r="I139" s="1"/>
    </row>
    <row r="140" spans="1:9">
      <c r="A140" s="269" t="s">
        <v>832</v>
      </c>
      <c r="B140" s="269" t="s">
        <v>5732</v>
      </c>
      <c r="C140" s="1" t="s">
        <v>5733</v>
      </c>
      <c r="D140" s="7">
        <v>1910</v>
      </c>
      <c r="F140" s="269" t="s">
        <v>5603</v>
      </c>
      <c r="G140" s="1"/>
      <c r="I140" s="1"/>
    </row>
    <row r="141" spans="1:9">
      <c r="A141" s="269" t="s">
        <v>833</v>
      </c>
      <c r="B141" s="269" t="s">
        <v>4761</v>
      </c>
      <c r="C141" s="1" t="s">
        <v>5734</v>
      </c>
      <c r="D141" s="7">
        <v>2008</v>
      </c>
      <c r="F141" s="269" t="s">
        <v>5603</v>
      </c>
      <c r="G141" s="1"/>
      <c r="I141" s="1"/>
    </row>
    <row r="142" spans="1:9">
      <c r="A142" s="269" t="s">
        <v>834</v>
      </c>
      <c r="B142" s="269" t="s">
        <v>5735</v>
      </c>
      <c r="C142" s="1" t="s">
        <v>5736</v>
      </c>
      <c r="D142" s="8">
        <v>1595</v>
      </c>
      <c r="F142" s="269" t="s">
        <v>5608</v>
      </c>
      <c r="G142" s="1"/>
      <c r="I142" s="1"/>
    </row>
    <row r="143" spans="1:9">
      <c r="A143" s="269" t="s">
        <v>835</v>
      </c>
      <c r="B143" s="269" t="s">
        <v>5737</v>
      </c>
      <c r="C143" s="1" t="s">
        <v>5738</v>
      </c>
      <c r="D143" s="7">
        <v>1846</v>
      </c>
      <c r="F143" s="269" t="s">
        <v>5603</v>
      </c>
      <c r="G143" s="1"/>
      <c r="I143" s="1"/>
    </row>
    <row r="144" spans="1:9">
      <c r="A144" s="269" t="s">
        <v>836</v>
      </c>
      <c r="B144" s="269" t="s">
        <v>5739</v>
      </c>
      <c r="C144" s="1" t="s">
        <v>5740</v>
      </c>
      <c r="D144" s="7">
        <v>1816</v>
      </c>
      <c r="F144" s="269" t="s">
        <v>5603</v>
      </c>
      <c r="G144" s="1"/>
      <c r="I144" s="1"/>
    </row>
    <row r="145" spans="1:9">
      <c r="A145" s="269" t="s">
        <v>837</v>
      </c>
      <c r="B145" s="269" t="s">
        <v>4475</v>
      </c>
      <c r="C145" s="1" t="s">
        <v>5741</v>
      </c>
      <c r="D145" s="7">
        <v>1656</v>
      </c>
      <c r="F145" s="269" t="s">
        <v>5603</v>
      </c>
      <c r="G145" s="1"/>
      <c r="I145" s="1"/>
    </row>
    <row r="146" spans="1:9">
      <c r="A146" s="269" t="s">
        <v>838</v>
      </c>
      <c r="B146" s="269" t="s">
        <v>5742</v>
      </c>
      <c r="C146" s="1" t="s">
        <v>5743</v>
      </c>
      <c r="D146" s="8">
        <v>3395</v>
      </c>
      <c r="F146" s="269" t="s">
        <v>5608</v>
      </c>
      <c r="G146" s="1"/>
      <c r="I146" s="1"/>
    </row>
    <row r="147" spans="1:9">
      <c r="A147" s="269" t="s">
        <v>840</v>
      </c>
      <c r="B147" s="269" t="s">
        <v>5744</v>
      </c>
      <c r="C147" s="1" t="s">
        <v>5745</v>
      </c>
      <c r="D147" s="8">
        <v>1533</v>
      </c>
      <c r="F147" s="269" t="s">
        <v>5603</v>
      </c>
      <c r="G147" s="1"/>
      <c r="I147" s="1"/>
    </row>
    <row r="148" spans="1:9">
      <c r="A148" s="269" t="s">
        <v>841</v>
      </c>
      <c r="B148" s="269" t="s">
        <v>5746</v>
      </c>
      <c r="C148" s="1" t="s">
        <v>5747</v>
      </c>
      <c r="D148" s="8">
        <v>4760</v>
      </c>
      <c r="F148" s="269" t="s">
        <v>5603</v>
      </c>
      <c r="G148" s="1"/>
      <c r="I148" s="1"/>
    </row>
    <row r="149" spans="1:9">
      <c r="A149" s="269" t="s">
        <v>878</v>
      </c>
      <c r="B149" s="269" t="s">
        <v>5748</v>
      </c>
      <c r="C149" s="1" t="s">
        <v>5749</v>
      </c>
      <c r="D149" s="8">
        <v>6476</v>
      </c>
      <c r="F149" s="269" t="s">
        <v>5603</v>
      </c>
      <c r="G149" s="1"/>
      <c r="I149" s="1"/>
    </row>
    <row r="150" spans="1:9">
      <c r="A150" s="269" t="s">
        <v>879</v>
      </c>
      <c r="B150" s="269" t="s">
        <v>5750</v>
      </c>
      <c r="C150" s="1" t="s">
        <v>5751</v>
      </c>
      <c r="D150" s="8">
        <v>4836</v>
      </c>
      <c r="F150" s="269" t="s">
        <v>5603</v>
      </c>
      <c r="G150" s="1"/>
      <c r="I150" s="1"/>
    </row>
    <row r="151" spans="1:9">
      <c r="A151" s="269" t="s">
        <v>880</v>
      </c>
      <c r="B151" s="269" t="s">
        <v>5752</v>
      </c>
      <c r="C151" s="1" t="s">
        <v>5753</v>
      </c>
      <c r="D151" s="8">
        <v>5300</v>
      </c>
      <c r="F151" s="269" t="s">
        <v>5603</v>
      </c>
      <c r="G151" s="1"/>
      <c r="I151" s="1"/>
    </row>
    <row r="152" spans="1:9">
      <c r="A152" s="269" t="s">
        <v>721</v>
      </c>
      <c r="B152" s="269" t="s">
        <v>5754</v>
      </c>
      <c r="C152" s="1" t="s">
        <v>5755</v>
      </c>
      <c r="D152" s="8">
        <v>5132</v>
      </c>
      <c r="F152" s="269" t="s">
        <v>5603</v>
      </c>
      <c r="G152" s="1"/>
      <c r="I152" s="1"/>
    </row>
    <row r="153" spans="1:9">
      <c r="A153" s="269" t="s">
        <v>722</v>
      </c>
      <c r="B153" s="269" t="s">
        <v>5756</v>
      </c>
      <c r="C153" s="1" t="s">
        <v>5757</v>
      </c>
      <c r="D153" s="8">
        <v>5087</v>
      </c>
      <c r="F153" s="269" t="s">
        <v>5603</v>
      </c>
      <c r="G153" s="1"/>
      <c r="I153" s="1"/>
    </row>
    <row r="154" spans="1:9">
      <c r="D154" s="275"/>
    </row>
    <row r="155" spans="1:9">
      <c r="A155" s="269" t="s">
        <v>5603</v>
      </c>
      <c r="D155" s="271">
        <f>SUM(D129:D132)+SUM(D134:D141)+SUM(D143:D145)+SUM(D147:D153)</f>
        <v>76764</v>
      </c>
    </row>
    <row r="156" spans="1:9">
      <c r="A156" s="269" t="s">
        <v>5758</v>
      </c>
      <c r="D156" s="271">
        <f t="shared" ref="D156" si="28">D133+D142+D146</f>
        <v>6919</v>
      </c>
    </row>
    <row r="157" spans="1:9">
      <c r="A157" s="269"/>
      <c r="D157" s="271"/>
    </row>
    <row r="158" spans="1:9">
      <c r="A158" s="269" t="s">
        <v>5759</v>
      </c>
      <c r="D158" s="271"/>
    </row>
    <row r="159" spans="1:9">
      <c r="A159" s="269"/>
      <c r="B159" s="269"/>
      <c r="D159" s="281"/>
    </row>
    <row r="160" spans="1:9">
      <c r="A160" s="269"/>
      <c r="B160" s="269"/>
      <c r="D160" s="281"/>
    </row>
    <row r="161" spans="1:9">
      <c r="D161" s="10" t="s">
        <v>285</v>
      </c>
      <c r="E161" s="38"/>
      <c r="F161" s="38" t="s">
        <v>4116</v>
      </c>
    </row>
    <row r="162" spans="1:9">
      <c r="D162" s="236">
        <v>2016</v>
      </c>
      <c r="E162" s="38"/>
      <c r="F162" s="41" t="s">
        <v>286</v>
      </c>
    </row>
    <row r="163" spans="1:9">
      <c r="A163" s="269" t="s">
        <v>5760</v>
      </c>
      <c r="D163" s="271">
        <f>SUM(D164:D176)+SUM(D177:D183)</f>
        <v>80641</v>
      </c>
    </row>
    <row r="164" spans="1:9">
      <c r="A164" s="269" t="s">
        <v>812</v>
      </c>
      <c r="B164" s="269" t="s">
        <v>5761</v>
      </c>
      <c r="C164" s="1" t="s">
        <v>5762</v>
      </c>
      <c r="D164" s="13">
        <v>5538</v>
      </c>
      <c r="F164" s="269" t="s">
        <v>5613</v>
      </c>
      <c r="G164" s="1"/>
      <c r="I164" s="1"/>
    </row>
    <row r="165" spans="1:9">
      <c r="A165" s="269" t="s">
        <v>813</v>
      </c>
      <c r="B165" s="269" t="s">
        <v>5763</v>
      </c>
      <c r="C165" s="1" t="s">
        <v>5764</v>
      </c>
      <c r="D165" s="13">
        <v>4050</v>
      </c>
      <c r="F165" s="269" t="s">
        <v>5605</v>
      </c>
      <c r="G165" s="1"/>
      <c r="I165" s="1"/>
    </row>
    <row r="166" spans="1:9">
      <c r="A166" s="269" t="s">
        <v>814</v>
      </c>
      <c r="B166" s="269" t="s">
        <v>5765</v>
      </c>
      <c r="C166" s="1" t="s">
        <v>5766</v>
      </c>
      <c r="D166" s="13">
        <v>3431</v>
      </c>
      <c r="F166" s="269" t="s">
        <v>5613</v>
      </c>
      <c r="G166" s="1"/>
      <c r="I166" s="1"/>
    </row>
    <row r="167" spans="1:9">
      <c r="A167" s="269" t="s">
        <v>815</v>
      </c>
      <c r="B167" s="269" t="s">
        <v>5767</v>
      </c>
      <c r="C167" s="1" t="s">
        <v>5768</v>
      </c>
      <c r="D167" s="13">
        <v>3790</v>
      </c>
      <c r="F167" s="269" t="s">
        <v>5613</v>
      </c>
      <c r="G167" s="1"/>
      <c r="I167" s="1"/>
    </row>
    <row r="168" spans="1:9">
      <c r="A168" s="269" t="s">
        <v>816</v>
      </c>
      <c r="B168" s="269" t="s">
        <v>5769</v>
      </c>
      <c r="C168" s="1" t="s">
        <v>5770</v>
      </c>
      <c r="D168" s="13">
        <v>3432</v>
      </c>
      <c r="F168" s="269" t="s">
        <v>5613</v>
      </c>
      <c r="G168" s="1"/>
      <c r="I168" s="1"/>
    </row>
    <row r="169" spans="1:9">
      <c r="A169" s="269" t="s">
        <v>826</v>
      </c>
      <c r="B169" s="269" t="s">
        <v>5771</v>
      </c>
      <c r="C169" s="1" t="s">
        <v>5772</v>
      </c>
      <c r="D169" s="13">
        <v>3773</v>
      </c>
      <c r="F169" s="269" t="s">
        <v>5613</v>
      </c>
      <c r="G169" s="1"/>
      <c r="I169" s="1"/>
    </row>
    <row r="170" spans="1:9">
      <c r="A170" s="269" t="s">
        <v>827</v>
      </c>
      <c r="B170" s="269" t="s">
        <v>5773</v>
      </c>
      <c r="C170" s="1" t="s">
        <v>5774</v>
      </c>
      <c r="D170" s="13">
        <v>5671</v>
      </c>
      <c r="F170" s="269" t="s">
        <v>5605</v>
      </c>
      <c r="G170" s="1"/>
      <c r="I170" s="1"/>
    </row>
    <row r="171" spans="1:9">
      <c r="A171" s="269" t="s">
        <v>828</v>
      </c>
      <c r="B171" s="269" t="s">
        <v>5775</v>
      </c>
      <c r="C171" s="1" t="s">
        <v>5776</v>
      </c>
      <c r="D171" s="13">
        <v>1845</v>
      </c>
      <c r="F171" s="269" t="s">
        <v>5600</v>
      </c>
      <c r="G171" s="1"/>
      <c r="I171" s="1"/>
    </row>
    <row r="172" spans="1:9">
      <c r="A172" s="269" t="s">
        <v>829</v>
      </c>
      <c r="B172" s="269" t="s">
        <v>5777</v>
      </c>
      <c r="C172" s="1" t="s">
        <v>5778</v>
      </c>
      <c r="D172" s="13">
        <v>5468</v>
      </c>
      <c r="F172" s="269" t="s">
        <v>5613</v>
      </c>
      <c r="G172" s="1"/>
      <c r="I172" s="1"/>
    </row>
    <row r="173" spans="1:9">
      <c r="A173" s="269" t="s">
        <v>830</v>
      </c>
      <c r="B173" s="269" t="s">
        <v>5779</v>
      </c>
      <c r="C173" s="1" t="s">
        <v>5780</v>
      </c>
      <c r="D173" s="13">
        <v>1907</v>
      </c>
      <c r="F173" s="269" t="s">
        <v>5600</v>
      </c>
      <c r="G173" s="1"/>
      <c r="I173" s="1"/>
    </row>
    <row r="174" spans="1:9">
      <c r="A174" s="269" t="s">
        <v>831</v>
      </c>
      <c r="B174" s="269" t="s">
        <v>5781</v>
      </c>
      <c r="C174" s="1" t="s">
        <v>5782</v>
      </c>
      <c r="D174" s="13">
        <v>3857</v>
      </c>
      <c r="F174" s="269" t="s">
        <v>5600</v>
      </c>
      <c r="G174" s="1"/>
      <c r="I174" s="1"/>
    </row>
    <row r="175" spans="1:9">
      <c r="A175" s="269" t="s">
        <v>832</v>
      </c>
      <c r="B175" s="269" t="s">
        <v>5783</v>
      </c>
      <c r="C175" s="1" t="s">
        <v>5784</v>
      </c>
      <c r="D175" s="13">
        <v>3261</v>
      </c>
      <c r="F175" s="269" t="s">
        <v>5600</v>
      </c>
      <c r="G175" s="1"/>
      <c r="I175" s="1"/>
    </row>
    <row r="176" spans="1:9">
      <c r="A176" s="269" t="s">
        <v>833</v>
      </c>
      <c r="B176" s="269" t="s">
        <v>5785</v>
      </c>
      <c r="C176" s="1" t="s">
        <v>5786</v>
      </c>
      <c r="D176" s="13">
        <v>5228</v>
      </c>
      <c r="F176" s="269" t="s">
        <v>5605</v>
      </c>
      <c r="G176" s="1"/>
      <c r="I176" s="1"/>
    </row>
    <row r="177" spans="1:9">
      <c r="A177" s="269" t="s">
        <v>834</v>
      </c>
      <c r="B177" s="269" t="s">
        <v>5787</v>
      </c>
      <c r="C177" s="1" t="s">
        <v>5788</v>
      </c>
      <c r="D177" s="13">
        <v>5030</v>
      </c>
      <c r="F177" s="269" t="s">
        <v>5605</v>
      </c>
      <c r="G177" s="1"/>
      <c r="I177" s="1"/>
    </row>
    <row r="178" spans="1:9">
      <c r="A178" s="269" t="s">
        <v>835</v>
      </c>
      <c r="B178" s="269" t="s">
        <v>5789</v>
      </c>
      <c r="C178" s="1" t="s">
        <v>5790</v>
      </c>
      <c r="D178" s="13">
        <v>3833</v>
      </c>
      <c r="F178" s="269" t="s">
        <v>5605</v>
      </c>
      <c r="G178" s="1"/>
      <c r="I178" s="1"/>
    </row>
    <row r="179" spans="1:9">
      <c r="A179" s="269" t="s">
        <v>836</v>
      </c>
      <c r="B179" s="269" t="s">
        <v>5791</v>
      </c>
      <c r="C179" s="1" t="s">
        <v>5792</v>
      </c>
      <c r="D179" s="13">
        <v>3282</v>
      </c>
      <c r="F179" s="269" t="s">
        <v>5605</v>
      </c>
      <c r="G179" s="1"/>
      <c r="I179" s="1"/>
    </row>
    <row r="180" spans="1:9">
      <c r="A180" s="269" t="s">
        <v>837</v>
      </c>
      <c r="B180" s="269" t="s">
        <v>5793</v>
      </c>
      <c r="C180" s="1" t="s">
        <v>5794</v>
      </c>
      <c r="D180" s="13">
        <v>3687</v>
      </c>
      <c r="F180" s="269" t="s">
        <v>5605</v>
      </c>
      <c r="G180" s="1"/>
      <c r="I180" s="1"/>
    </row>
    <row r="181" spans="1:9">
      <c r="A181" s="269" t="s">
        <v>838</v>
      </c>
      <c r="B181" s="269" t="s">
        <v>5795</v>
      </c>
      <c r="C181" s="1" t="s">
        <v>5796</v>
      </c>
      <c r="D181" s="13">
        <v>3827</v>
      </c>
      <c r="F181" s="269" t="s">
        <v>5605</v>
      </c>
      <c r="G181" s="1"/>
      <c r="I181" s="1"/>
    </row>
    <row r="182" spans="1:9">
      <c r="A182" s="269" t="s">
        <v>840</v>
      </c>
      <c r="B182" s="269" t="s">
        <v>5797</v>
      </c>
      <c r="C182" s="1" t="s">
        <v>5798</v>
      </c>
      <c r="D182" s="13">
        <v>6181</v>
      </c>
      <c r="F182" s="269" t="s">
        <v>5613</v>
      </c>
      <c r="G182" s="1"/>
      <c r="I182" s="1"/>
    </row>
    <row r="183" spans="1:9">
      <c r="A183" s="269" t="s">
        <v>841</v>
      </c>
      <c r="B183" s="269" t="s">
        <v>5799</v>
      </c>
      <c r="C183" s="1" t="s">
        <v>5800</v>
      </c>
      <c r="D183" s="13">
        <v>3550</v>
      </c>
      <c r="F183" s="269" t="s">
        <v>5605</v>
      </c>
      <c r="G183" s="1"/>
      <c r="I183" s="1"/>
    </row>
    <row r="184" spans="1:9">
      <c r="D184" s="275"/>
    </row>
    <row r="185" spans="1:9">
      <c r="A185" s="269" t="s">
        <v>5707</v>
      </c>
      <c r="D185" s="271">
        <f>D171+SUM(D173:D175)</f>
        <v>10870</v>
      </c>
    </row>
    <row r="186" spans="1:9">
      <c r="A186" s="269" t="s">
        <v>5656</v>
      </c>
      <c r="D186" s="271">
        <f>D165+D170+SUM(D176:D181)+D183</f>
        <v>38158</v>
      </c>
    </row>
    <row r="187" spans="1:9">
      <c r="A187" s="269" t="s">
        <v>5613</v>
      </c>
      <c r="D187" s="271">
        <f>D164+SUM(D166:D169)+D172+D182</f>
        <v>31613</v>
      </c>
    </row>
    <row r="188" spans="1:9">
      <c r="A188" s="269"/>
      <c r="D188" s="271"/>
    </row>
    <row r="189" spans="1:9">
      <c r="A189" s="269" t="s">
        <v>5801</v>
      </c>
      <c r="D189" s="271"/>
    </row>
    <row r="190" spans="1:9" ht="15.75" customHeight="1">
      <c r="A190" s="269"/>
      <c r="B190" s="269"/>
      <c r="D190" s="281"/>
    </row>
    <row r="191" spans="1:9">
      <c r="A191" s="269"/>
      <c r="B191" s="269"/>
      <c r="D191" s="281"/>
    </row>
    <row r="192" spans="1:9">
      <c r="D192" s="10" t="s">
        <v>285</v>
      </c>
      <c r="E192" s="38"/>
      <c r="F192" s="38" t="s">
        <v>4116</v>
      </c>
    </row>
    <row r="193" spans="1:9">
      <c r="D193" s="236">
        <v>2016</v>
      </c>
      <c r="E193" s="38"/>
      <c r="F193" s="41" t="s">
        <v>286</v>
      </c>
    </row>
    <row r="194" spans="1:9">
      <c r="A194" s="269" t="s">
        <v>5802</v>
      </c>
      <c r="D194" s="271">
        <f>SUM(D195:D213)</f>
        <v>85825</v>
      </c>
    </row>
    <row r="195" spans="1:9">
      <c r="A195" s="269" t="s">
        <v>812</v>
      </c>
      <c r="B195" s="269" t="s">
        <v>5803</v>
      </c>
      <c r="C195" s="1" t="s">
        <v>5804</v>
      </c>
      <c r="D195" s="8">
        <v>3852</v>
      </c>
      <c r="F195" s="269" t="s">
        <v>5614</v>
      </c>
      <c r="G195" s="1"/>
      <c r="I195" s="1"/>
    </row>
    <row r="196" spans="1:9">
      <c r="A196" s="269" t="s">
        <v>813</v>
      </c>
      <c r="B196" s="269" t="s">
        <v>5805</v>
      </c>
      <c r="C196" s="1" t="s">
        <v>5806</v>
      </c>
      <c r="D196" s="8">
        <v>5712</v>
      </c>
      <c r="F196" s="269" t="s">
        <v>5614</v>
      </c>
      <c r="G196" s="1"/>
      <c r="I196" s="1"/>
    </row>
    <row r="197" spans="1:9">
      <c r="A197" s="269" t="s">
        <v>814</v>
      </c>
      <c r="B197" s="269" t="s">
        <v>5714</v>
      </c>
      <c r="C197" s="1" t="s">
        <v>5807</v>
      </c>
      <c r="D197" s="7">
        <v>4072</v>
      </c>
      <c r="F197" s="269" t="s">
        <v>5610</v>
      </c>
      <c r="G197" s="1"/>
      <c r="I197" s="1"/>
    </row>
    <row r="198" spans="1:9">
      <c r="A198" s="269" t="s">
        <v>815</v>
      </c>
      <c r="B198" s="269" t="s">
        <v>5808</v>
      </c>
      <c r="C198" s="1" t="s">
        <v>5809</v>
      </c>
      <c r="D198" s="7">
        <v>5934</v>
      </c>
      <c r="F198" s="269" t="s">
        <v>5610</v>
      </c>
      <c r="G198" s="1"/>
      <c r="I198" s="1"/>
    </row>
    <row r="199" spans="1:9">
      <c r="A199" s="269" t="s">
        <v>816</v>
      </c>
      <c r="B199" s="269" t="s">
        <v>5810</v>
      </c>
      <c r="C199" s="1" t="s">
        <v>5811</v>
      </c>
      <c r="D199" s="7">
        <v>4082</v>
      </c>
      <c r="F199" s="269" t="s">
        <v>5610</v>
      </c>
      <c r="G199" s="1"/>
      <c r="I199" s="1"/>
    </row>
    <row r="200" spans="1:9">
      <c r="A200" s="269" t="s">
        <v>826</v>
      </c>
      <c r="B200" s="269" t="s">
        <v>5812</v>
      </c>
      <c r="C200" s="1" t="s">
        <v>5813</v>
      </c>
      <c r="D200" s="7">
        <v>2015</v>
      </c>
      <c r="F200" s="269" t="s">
        <v>5610</v>
      </c>
      <c r="G200" s="1"/>
      <c r="I200" s="1"/>
    </row>
    <row r="201" spans="1:9">
      <c r="A201" s="269" t="s">
        <v>827</v>
      </c>
      <c r="B201" s="269" t="s">
        <v>5814</v>
      </c>
      <c r="C201" s="1" t="s">
        <v>5815</v>
      </c>
      <c r="D201" s="7">
        <v>4501</v>
      </c>
      <c r="F201" s="269" t="s">
        <v>5614</v>
      </c>
      <c r="G201" s="1"/>
      <c r="I201" s="1"/>
    </row>
    <row r="202" spans="1:9">
      <c r="A202" s="269" t="s">
        <v>828</v>
      </c>
      <c r="B202" s="269" t="s">
        <v>5816</v>
      </c>
      <c r="C202" s="1" t="s">
        <v>5817</v>
      </c>
      <c r="D202" s="7">
        <v>4173</v>
      </c>
      <c r="F202" s="269" t="s">
        <v>5614</v>
      </c>
      <c r="G202" s="1"/>
      <c r="I202" s="1"/>
    </row>
    <row r="203" spans="1:9">
      <c r="A203" s="269" t="s">
        <v>829</v>
      </c>
      <c r="B203" s="269" t="s">
        <v>5818</v>
      </c>
      <c r="C203" s="1" t="s">
        <v>5819</v>
      </c>
      <c r="D203" s="8">
        <v>2294</v>
      </c>
      <c r="F203" s="269" t="s">
        <v>5614</v>
      </c>
      <c r="G203" s="1"/>
      <c r="I203" s="1"/>
    </row>
    <row r="204" spans="1:9">
      <c r="A204" s="269" t="s">
        <v>830</v>
      </c>
      <c r="B204" s="269" t="s">
        <v>5820</v>
      </c>
      <c r="C204" s="1" t="s">
        <v>5821</v>
      </c>
      <c r="D204" s="7">
        <v>4526</v>
      </c>
      <c r="F204" s="269" t="s">
        <v>5614</v>
      </c>
      <c r="G204" s="1"/>
      <c r="I204" s="1"/>
    </row>
    <row r="205" spans="1:9">
      <c r="A205" s="269" t="s">
        <v>831</v>
      </c>
      <c r="B205" s="269" t="s">
        <v>4079</v>
      </c>
      <c r="C205" s="1" t="s">
        <v>5822</v>
      </c>
      <c r="D205" s="7">
        <v>4415</v>
      </c>
      <c r="F205" s="269" t="s">
        <v>5610</v>
      </c>
      <c r="G205" s="1"/>
      <c r="I205" s="1"/>
    </row>
    <row r="206" spans="1:9">
      <c r="A206" s="269" t="s">
        <v>832</v>
      </c>
      <c r="B206" s="269" t="s">
        <v>5823</v>
      </c>
      <c r="C206" s="1" t="s">
        <v>5824</v>
      </c>
      <c r="D206" s="7">
        <v>3867</v>
      </c>
      <c r="F206" s="269" t="s">
        <v>5610</v>
      </c>
      <c r="G206" s="1"/>
      <c r="I206" s="1"/>
    </row>
    <row r="207" spans="1:9">
      <c r="A207" s="269" t="s">
        <v>833</v>
      </c>
      <c r="B207" s="269" t="s">
        <v>5825</v>
      </c>
      <c r="C207" s="1" t="s">
        <v>5826</v>
      </c>
      <c r="D207" s="8">
        <v>6362</v>
      </c>
      <c r="F207" s="269" t="s">
        <v>5614</v>
      </c>
      <c r="G207" s="1"/>
      <c r="I207" s="1"/>
    </row>
    <row r="208" spans="1:9">
      <c r="A208" s="269" t="s">
        <v>834</v>
      </c>
      <c r="B208" s="269" t="s">
        <v>5827</v>
      </c>
      <c r="C208" s="1" t="s">
        <v>5828</v>
      </c>
      <c r="D208" s="7">
        <v>4131</v>
      </c>
      <c r="F208" s="269" t="s">
        <v>5610</v>
      </c>
      <c r="G208" s="1"/>
      <c r="I208" s="1"/>
    </row>
    <row r="209" spans="1:9">
      <c r="A209" s="269" t="s">
        <v>835</v>
      </c>
      <c r="B209" s="269" t="s">
        <v>5829</v>
      </c>
      <c r="C209" s="1" t="s">
        <v>5830</v>
      </c>
      <c r="D209" s="8">
        <v>6454</v>
      </c>
      <c r="F209" s="269" t="s">
        <v>5614</v>
      </c>
      <c r="G209" s="1"/>
      <c r="I209" s="1"/>
    </row>
    <row r="210" spans="1:9">
      <c r="A210" s="269" t="s">
        <v>836</v>
      </c>
      <c r="B210" s="269" t="s">
        <v>5831</v>
      </c>
      <c r="C210" s="1" t="s">
        <v>5832</v>
      </c>
      <c r="D210" s="7">
        <v>6225</v>
      </c>
      <c r="F210" s="269" t="s">
        <v>5610</v>
      </c>
      <c r="G210" s="1"/>
      <c r="I210" s="1"/>
    </row>
    <row r="211" spans="1:9">
      <c r="A211" s="269" t="s">
        <v>837</v>
      </c>
      <c r="B211" s="269" t="s">
        <v>5833</v>
      </c>
      <c r="C211" s="1" t="s">
        <v>5834</v>
      </c>
      <c r="D211" s="8">
        <v>4695</v>
      </c>
      <c r="F211" s="269" t="s">
        <v>5614</v>
      </c>
      <c r="G211" s="1"/>
      <c r="I211" s="1"/>
    </row>
    <row r="212" spans="1:9">
      <c r="A212" s="269" t="s">
        <v>838</v>
      </c>
      <c r="B212" s="269" t="s">
        <v>5835</v>
      </c>
      <c r="C212" s="1" t="s">
        <v>5836</v>
      </c>
      <c r="D212" s="7">
        <v>4136</v>
      </c>
      <c r="F212" s="269" t="s">
        <v>5614</v>
      </c>
      <c r="G212" s="1"/>
      <c r="I212" s="1"/>
    </row>
    <row r="213" spans="1:9">
      <c r="A213" s="269" t="s">
        <v>840</v>
      </c>
      <c r="B213" s="269" t="s">
        <v>5837</v>
      </c>
      <c r="C213" s="1" t="s">
        <v>5838</v>
      </c>
      <c r="D213" s="8">
        <v>4379</v>
      </c>
      <c r="F213" s="269" t="s">
        <v>5614</v>
      </c>
      <c r="G213" s="1"/>
      <c r="I213" s="1"/>
    </row>
    <row r="214" spans="1:9">
      <c r="D214" s="275"/>
    </row>
    <row r="215" spans="1:9">
      <c r="A215" s="269" t="s">
        <v>5839</v>
      </c>
      <c r="D215" s="271">
        <f>SUM(D197:D200)+D205+D206+D208+D210</f>
        <v>34741</v>
      </c>
    </row>
    <row r="216" spans="1:9">
      <c r="A216" s="269" t="s">
        <v>5840</v>
      </c>
      <c r="D216" s="271">
        <f>D195+D196+SUM(D201:D204)+D207+D209+SUM(D211:D213)</f>
        <v>51084</v>
      </c>
    </row>
    <row r="217" spans="1:9">
      <c r="A217" s="269"/>
      <c r="D217" s="271"/>
    </row>
    <row r="218" spans="1:9">
      <c r="A218" s="269" t="s">
        <v>5841</v>
      </c>
      <c r="D218" s="271"/>
    </row>
    <row r="219" spans="1:9">
      <c r="A219" s="269"/>
      <c r="B219" s="269"/>
      <c r="D219" s="281"/>
    </row>
    <row r="220" spans="1:9">
      <c r="A220" s="269"/>
      <c r="B220" s="269"/>
      <c r="D220" s="281"/>
    </row>
    <row r="221" spans="1:9">
      <c r="D221" s="10" t="s">
        <v>285</v>
      </c>
      <c r="E221" s="38"/>
      <c r="F221" s="38" t="s">
        <v>4116</v>
      </c>
    </row>
    <row r="222" spans="1:9">
      <c r="D222" s="236">
        <v>2016</v>
      </c>
      <c r="E222" s="38"/>
      <c r="F222" s="41" t="s">
        <v>286</v>
      </c>
    </row>
    <row r="223" spans="1:9">
      <c r="A223" s="269" t="s">
        <v>5842</v>
      </c>
      <c r="D223" s="271">
        <f>SUM(D224:D259)</f>
        <v>74066</v>
      </c>
    </row>
    <row r="224" spans="1:9">
      <c r="A224" s="269" t="s">
        <v>812</v>
      </c>
      <c r="B224" s="269" t="s">
        <v>5843</v>
      </c>
      <c r="C224" s="1" t="s">
        <v>5844</v>
      </c>
      <c r="D224" s="13">
        <v>2043</v>
      </c>
      <c r="F224" s="269" t="s">
        <v>5607</v>
      </c>
      <c r="G224" s="1"/>
      <c r="I224" s="1"/>
    </row>
    <row r="225" spans="1:9">
      <c r="A225" s="269" t="s">
        <v>813</v>
      </c>
      <c r="B225" s="269" t="s">
        <v>891</v>
      </c>
      <c r="C225" s="1" t="s">
        <v>5845</v>
      </c>
      <c r="D225" s="13">
        <v>2182</v>
      </c>
      <c r="F225" s="269" t="s">
        <v>5607</v>
      </c>
      <c r="G225" s="1"/>
      <c r="I225" s="1"/>
    </row>
    <row r="226" spans="1:9">
      <c r="A226" s="269" t="s">
        <v>814</v>
      </c>
      <c r="B226" s="269" t="s">
        <v>5846</v>
      </c>
      <c r="C226" s="1" t="s">
        <v>5847</v>
      </c>
      <c r="D226" s="13">
        <v>2166</v>
      </c>
      <c r="F226" s="269" t="s">
        <v>5607</v>
      </c>
      <c r="G226" s="1"/>
      <c r="I226" s="1"/>
    </row>
    <row r="227" spans="1:9">
      <c r="A227" s="269" t="s">
        <v>815</v>
      </c>
      <c r="B227" s="269" t="s">
        <v>5848</v>
      </c>
      <c r="C227" s="1" t="s">
        <v>5849</v>
      </c>
      <c r="D227" s="13">
        <v>1759</v>
      </c>
      <c r="F227" s="269" t="s">
        <v>5607</v>
      </c>
      <c r="G227" s="1"/>
      <c r="I227" s="1"/>
    </row>
    <row r="228" spans="1:9">
      <c r="A228" s="269" t="s">
        <v>816</v>
      </c>
      <c r="B228" s="269" t="s">
        <v>5850</v>
      </c>
      <c r="C228" s="1" t="s">
        <v>5851</v>
      </c>
      <c r="D228" s="13">
        <v>2219</v>
      </c>
      <c r="F228" s="269" t="s">
        <v>5607</v>
      </c>
      <c r="G228" s="1"/>
      <c r="I228" s="1"/>
    </row>
    <row r="229" spans="1:9">
      <c r="A229" s="269" t="s">
        <v>826</v>
      </c>
      <c r="B229" s="269" t="s">
        <v>5852</v>
      </c>
      <c r="C229" s="1" t="s">
        <v>5853</v>
      </c>
      <c r="D229" s="13">
        <v>1777</v>
      </c>
      <c r="F229" s="269" t="s">
        <v>5607</v>
      </c>
      <c r="G229" s="1"/>
      <c r="I229" s="1"/>
    </row>
    <row r="230" spans="1:9">
      <c r="A230" s="269" t="s">
        <v>827</v>
      </c>
      <c r="B230" s="269" t="s">
        <v>5854</v>
      </c>
      <c r="C230" s="1" t="s">
        <v>5855</v>
      </c>
      <c r="D230" s="13">
        <v>2117</v>
      </c>
      <c r="F230" s="269" t="s">
        <v>5607</v>
      </c>
      <c r="G230" s="1"/>
      <c r="I230" s="1"/>
    </row>
    <row r="231" spans="1:9">
      <c r="A231" s="269" t="s">
        <v>828</v>
      </c>
      <c r="B231" s="269" t="s">
        <v>5856</v>
      </c>
      <c r="C231" s="1" t="s">
        <v>5857</v>
      </c>
      <c r="D231" s="13">
        <v>2286</v>
      </c>
      <c r="F231" s="269" t="s">
        <v>5607</v>
      </c>
      <c r="G231" s="1"/>
      <c r="I231" s="1"/>
    </row>
    <row r="232" spans="1:9">
      <c r="A232" s="269" t="s">
        <v>829</v>
      </c>
      <c r="B232" s="269" t="s">
        <v>5858</v>
      </c>
      <c r="C232" s="1" t="s">
        <v>5859</v>
      </c>
      <c r="D232" s="13">
        <v>2344</v>
      </c>
      <c r="F232" s="269" t="s">
        <v>5607</v>
      </c>
      <c r="G232" s="1"/>
      <c r="I232" s="1"/>
    </row>
    <row r="233" spans="1:9">
      <c r="A233" s="269" t="s">
        <v>830</v>
      </c>
      <c r="B233" s="269" t="s">
        <v>5860</v>
      </c>
      <c r="C233" s="1" t="s">
        <v>5861</v>
      </c>
      <c r="D233" s="13">
        <v>2022</v>
      </c>
      <c r="F233" s="269" t="s">
        <v>5607</v>
      </c>
      <c r="G233" s="1"/>
      <c r="I233" s="1"/>
    </row>
    <row r="234" spans="1:9">
      <c r="A234" s="269" t="s">
        <v>831</v>
      </c>
      <c r="B234" s="269" t="s">
        <v>5862</v>
      </c>
      <c r="C234" s="1" t="s">
        <v>5863</v>
      </c>
      <c r="D234" s="13">
        <v>2015</v>
      </c>
      <c r="F234" s="269" t="s">
        <v>5607</v>
      </c>
      <c r="G234" s="1"/>
      <c r="I234" s="1"/>
    </row>
    <row r="235" spans="1:9">
      <c r="A235" s="269" t="s">
        <v>832</v>
      </c>
      <c r="B235" s="269" t="s">
        <v>5683</v>
      </c>
      <c r="C235" s="1" t="s">
        <v>5864</v>
      </c>
      <c r="D235" s="13">
        <v>2041</v>
      </c>
      <c r="F235" s="269" t="s">
        <v>5607</v>
      </c>
      <c r="G235" s="1"/>
      <c r="I235" s="1"/>
    </row>
    <row r="236" spans="1:9">
      <c r="A236" s="269" t="s">
        <v>833</v>
      </c>
      <c r="B236" s="269" t="s">
        <v>5865</v>
      </c>
      <c r="C236" s="1" t="s">
        <v>5866</v>
      </c>
      <c r="D236" s="13">
        <v>1951</v>
      </c>
      <c r="F236" s="269" t="s">
        <v>5607</v>
      </c>
      <c r="G236" s="1"/>
      <c r="I236" s="1"/>
    </row>
    <row r="237" spans="1:9">
      <c r="A237" s="269" t="s">
        <v>834</v>
      </c>
      <c r="B237" s="269" t="s">
        <v>5867</v>
      </c>
      <c r="C237" s="1" t="s">
        <v>5868</v>
      </c>
      <c r="D237" s="13">
        <v>2073</v>
      </c>
      <c r="F237" s="269" t="s">
        <v>5607</v>
      </c>
      <c r="G237" s="1"/>
      <c r="I237" s="1"/>
    </row>
    <row r="238" spans="1:9">
      <c r="A238" s="269" t="s">
        <v>835</v>
      </c>
      <c r="B238" s="269" t="s">
        <v>5869</v>
      </c>
      <c r="C238" s="1" t="s">
        <v>5870</v>
      </c>
      <c r="D238" s="13">
        <v>2113</v>
      </c>
      <c r="F238" s="269" t="s">
        <v>5607</v>
      </c>
      <c r="G238" s="1"/>
      <c r="I238" s="1"/>
    </row>
    <row r="239" spans="1:9">
      <c r="A239" s="269" t="s">
        <v>836</v>
      </c>
      <c r="B239" s="269" t="s">
        <v>3050</v>
      </c>
      <c r="C239" s="1" t="s">
        <v>5871</v>
      </c>
      <c r="D239" s="13">
        <v>2245</v>
      </c>
      <c r="F239" s="269" t="s">
        <v>5607</v>
      </c>
      <c r="G239" s="1"/>
      <c r="I239" s="1"/>
    </row>
    <row r="240" spans="1:9">
      <c r="A240" s="269" t="s">
        <v>837</v>
      </c>
      <c r="B240" s="269" t="s">
        <v>5872</v>
      </c>
      <c r="C240" s="1" t="s">
        <v>5873</v>
      </c>
      <c r="D240" s="13">
        <v>2258</v>
      </c>
      <c r="F240" s="269" t="s">
        <v>5607</v>
      </c>
      <c r="G240" s="1"/>
      <c r="I240" s="1"/>
    </row>
    <row r="241" spans="1:9">
      <c r="A241" s="269" t="s">
        <v>838</v>
      </c>
      <c r="B241" s="269" t="s">
        <v>5874</v>
      </c>
      <c r="C241" s="1" t="s">
        <v>5875</v>
      </c>
      <c r="D241" s="13">
        <v>2452</v>
      </c>
      <c r="F241" s="269" t="s">
        <v>5607</v>
      </c>
      <c r="G241" s="1"/>
      <c r="I241" s="1"/>
    </row>
    <row r="242" spans="1:9">
      <c r="A242" s="279">
        <v>19</v>
      </c>
      <c r="B242" s="269" t="s">
        <v>5876</v>
      </c>
      <c r="C242" s="1" t="s">
        <v>5877</v>
      </c>
      <c r="D242" s="13">
        <v>2076</v>
      </c>
      <c r="F242" s="269" t="s">
        <v>5607</v>
      </c>
      <c r="G242" s="1"/>
      <c r="I242" s="1"/>
    </row>
    <row r="243" spans="1:9">
      <c r="A243" s="269" t="s">
        <v>841</v>
      </c>
      <c r="B243" s="269" t="s">
        <v>5823</v>
      </c>
      <c r="C243" s="1" t="s">
        <v>5878</v>
      </c>
      <c r="D243" s="13">
        <v>2089</v>
      </c>
      <c r="F243" s="269" t="s">
        <v>5607</v>
      </c>
      <c r="G243" s="1"/>
      <c r="I243" s="1"/>
    </row>
    <row r="244" spans="1:9">
      <c r="A244" s="269" t="s">
        <v>878</v>
      </c>
      <c r="B244" s="269" t="s">
        <v>5879</v>
      </c>
      <c r="C244" s="1" t="s">
        <v>5880</v>
      </c>
      <c r="D244" s="13">
        <v>1681</v>
      </c>
      <c r="F244" s="269" t="s">
        <v>5607</v>
      </c>
      <c r="G244" s="1"/>
      <c r="I244" s="1"/>
    </row>
    <row r="245" spans="1:9">
      <c r="A245" s="269" t="s">
        <v>879</v>
      </c>
      <c r="B245" s="269" t="s">
        <v>5881</v>
      </c>
      <c r="C245" s="1" t="s">
        <v>5882</v>
      </c>
      <c r="D245" s="13">
        <v>2369</v>
      </c>
      <c r="F245" s="269" t="s">
        <v>5607</v>
      </c>
      <c r="G245" s="1"/>
      <c r="I245" s="1"/>
    </row>
    <row r="246" spans="1:9">
      <c r="A246" s="269" t="s">
        <v>880</v>
      </c>
      <c r="B246" s="269" t="s">
        <v>5883</v>
      </c>
      <c r="C246" s="1" t="s">
        <v>5884</v>
      </c>
      <c r="D246" s="13">
        <v>1836</v>
      </c>
      <c r="F246" s="269" t="s">
        <v>5607</v>
      </c>
      <c r="G246" s="1"/>
      <c r="I246" s="1"/>
    </row>
    <row r="247" spans="1:9">
      <c r="A247" s="269" t="s">
        <v>721</v>
      </c>
      <c r="B247" s="269" t="s">
        <v>5885</v>
      </c>
      <c r="C247" s="1" t="s">
        <v>5886</v>
      </c>
      <c r="D247" s="13">
        <v>1821</v>
      </c>
      <c r="F247" s="269" t="s">
        <v>5607</v>
      </c>
      <c r="G247" s="1"/>
      <c r="I247" s="1"/>
    </row>
    <row r="248" spans="1:9">
      <c r="A248" s="269" t="s">
        <v>722</v>
      </c>
      <c r="B248" s="269" t="s">
        <v>5887</v>
      </c>
      <c r="C248" s="1" t="s">
        <v>5888</v>
      </c>
      <c r="D248" s="13">
        <v>2294</v>
      </c>
      <c r="F248" s="269" t="s">
        <v>5607</v>
      </c>
      <c r="G248" s="1"/>
      <c r="I248" s="1"/>
    </row>
    <row r="249" spans="1:9">
      <c r="A249" s="269" t="s">
        <v>723</v>
      </c>
      <c r="B249" s="269" t="s">
        <v>5889</v>
      </c>
      <c r="C249" s="1" t="s">
        <v>5890</v>
      </c>
      <c r="D249" s="13">
        <v>2219</v>
      </c>
      <c r="F249" s="269" t="s">
        <v>5607</v>
      </c>
      <c r="G249" s="1"/>
      <c r="I249" s="1"/>
    </row>
    <row r="250" spans="1:9">
      <c r="A250" s="269" t="s">
        <v>733</v>
      </c>
      <c r="B250" s="269" t="s">
        <v>5891</v>
      </c>
      <c r="C250" s="1" t="s">
        <v>5892</v>
      </c>
      <c r="D250" s="13">
        <v>2010</v>
      </c>
      <c r="F250" s="269" t="s">
        <v>5607</v>
      </c>
      <c r="G250" s="1"/>
      <c r="I250" s="1"/>
    </row>
    <row r="251" spans="1:9">
      <c r="A251" s="269" t="s">
        <v>734</v>
      </c>
      <c r="B251" s="269" t="s">
        <v>5893</v>
      </c>
      <c r="C251" s="1" t="s">
        <v>5894</v>
      </c>
      <c r="D251" s="13">
        <v>1302</v>
      </c>
      <c r="F251" s="269" t="s">
        <v>5607</v>
      </c>
      <c r="G251" s="1"/>
      <c r="I251" s="1"/>
    </row>
    <row r="252" spans="1:9">
      <c r="A252" s="176" t="s">
        <v>735</v>
      </c>
      <c r="B252" s="269" t="s">
        <v>5895</v>
      </c>
      <c r="C252" s="1" t="s">
        <v>5896</v>
      </c>
      <c r="D252" s="13">
        <v>1932</v>
      </c>
      <c r="F252" s="269" t="s">
        <v>5607</v>
      </c>
      <c r="G252" s="1"/>
      <c r="I252" s="1"/>
    </row>
    <row r="253" spans="1:9">
      <c r="A253" s="176" t="s">
        <v>736</v>
      </c>
      <c r="B253" s="269" t="s">
        <v>5897</v>
      </c>
      <c r="C253" s="1" t="s">
        <v>5898</v>
      </c>
      <c r="D253" s="13">
        <v>1989</v>
      </c>
      <c r="F253" s="269" t="s">
        <v>5607</v>
      </c>
      <c r="G253" s="1"/>
      <c r="I253" s="1"/>
    </row>
    <row r="254" spans="1:9">
      <c r="A254" s="176" t="s">
        <v>931</v>
      </c>
      <c r="B254" s="269" t="s">
        <v>5899</v>
      </c>
      <c r="C254" s="1" t="s">
        <v>5900</v>
      </c>
      <c r="D254" s="13">
        <v>1939</v>
      </c>
      <c r="F254" s="269" t="s">
        <v>5607</v>
      </c>
      <c r="G254" s="1"/>
      <c r="I254" s="1"/>
    </row>
    <row r="255" spans="1:9">
      <c r="A255" s="176" t="s">
        <v>932</v>
      </c>
      <c r="B255" s="269" t="s">
        <v>5650</v>
      </c>
      <c r="C255" s="1" t="s">
        <v>5901</v>
      </c>
      <c r="D255" s="13">
        <v>1827</v>
      </c>
      <c r="F255" s="269" t="s">
        <v>5607</v>
      </c>
      <c r="G255" s="1"/>
      <c r="I255" s="1"/>
    </row>
    <row r="256" spans="1:9">
      <c r="A256" s="176" t="s">
        <v>933</v>
      </c>
      <c r="B256" s="269" t="s">
        <v>5902</v>
      </c>
      <c r="C256" s="1" t="s">
        <v>5903</v>
      </c>
      <c r="D256" s="13">
        <v>2470</v>
      </c>
      <c r="F256" s="269" t="s">
        <v>5607</v>
      </c>
      <c r="G256" s="1"/>
      <c r="I256" s="1"/>
    </row>
    <row r="257" spans="1:9">
      <c r="A257" s="176" t="s">
        <v>934</v>
      </c>
      <c r="B257" s="269" t="s">
        <v>5904</v>
      </c>
      <c r="C257" s="1" t="s">
        <v>5905</v>
      </c>
      <c r="D257" s="13">
        <v>2187</v>
      </c>
      <c r="F257" s="269" t="s">
        <v>5607</v>
      </c>
      <c r="G257" s="1"/>
      <c r="I257" s="1"/>
    </row>
    <row r="258" spans="1:9">
      <c r="A258" s="176" t="s">
        <v>376</v>
      </c>
      <c r="B258" s="269" t="s">
        <v>3542</v>
      </c>
      <c r="C258" s="1" t="s">
        <v>5906</v>
      </c>
      <c r="D258" s="13">
        <v>1565</v>
      </c>
      <c r="F258" s="269" t="s">
        <v>5607</v>
      </c>
      <c r="G258" s="1"/>
      <c r="I258" s="1"/>
    </row>
    <row r="259" spans="1:9">
      <c r="A259" s="176" t="s">
        <v>377</v>
      </c>
      <c r="B259" s="269" t="s">
        <v>5907</v>
      </c>
      <c r="C259" s="1" t="s">
        <v>5908</v>
      </c>
      <c r="D259" s="13">
        <v>2397</v>
      </c>
      <c r="F259" s="269" t="s">
        <v>5607</v>
      </c>
      <c r="G259" s="1"/>
      <c r="I259" s="1"/>
    </row>
    <row r="260" spans="1:9">
      <c r="D260" s="275"/>
    </row>
    <row r="261" spans="1:9">
      <c r="A261" s="269" t="s">
        <v>5607</v>
      </c>
      <c r="D261" s="271">
        <f>SUM(D224:D259)</f>
        <v>74066</v>
      </c>
    </row>
    <row r="262" spans="1:9">
      <c r="A262" s="269"/>
      <c r="D262" s="271"/>
    </row>
    <row r="263" spans="1:9">
      <c r="A263" s="269" t="s">
        <v>5909</v>
      </c>
      <c r="D263" s="271"/>
    </row>
    <row r="264" spans="1:9">
      <c r="A264" s="269"/>
      <c r="B264" s="269"/>
      <c r="D264" s="281"/>
    </row>
    <row r="265" spans="1:9">
      <c r="A265" s="269"/>
      <c r="B265" s="269"/>
      <c r="D265" s="281"/>
    </row>
    <row r="266" spans="1:9">
      <c r="D266" s="10" t="s">
        <v>285</v>
      </c>
      <c r="E266" s="38"/>
      <c r="F266" s="38" t="s">
        <v>4116</v>
      </c>
    </row>
    <row r="267" spans="1:9">
      <c r="D267" s="236">
        <v>2016</v>
      </c>
      <c r="E267" s="38"/>
      <c r="F267" s="41" t="s">
        <v>286</v>
      </c>
    </row>
    <row r="268" spans="1:9">
      <c r="A268" s="269" t="s">
        <v>5910</v>
      </c>
      <c r="D268" s="271">
        <f>SUM(D269:D289)</f>
        <v>82713</v>
      </c>
    </row>
    <row r="269" spans="1:9">
      <c r="A269" s="269" t="s">
        <v>812</v>
      </c>
      <c r="B269" s="269" t="s">
        <v>5911</v>
      </c>
      <c r="C269" s="1" t="s">
        <v>5912</v>
      </c>
      <c r="D269" s="13">
        <v>5015</v>
      </c>
      <c r="F269" s="269" t="s">
        <v>5608</v>
      </c>
      <c r="G269" s="1"/>
      <c r="I269" s="1"/>
    </row>
    <row r="270" spans="1:9">
      <c r="A270" s="269" t="s">
        <v>813</v>
      </c>
      <c r="B270" s="269" t="s">
        <v>5913</v>
      </c>
      <c r="C270" s="1" t="s">
        <v>5914</v>
      </c>
      <c r="D270" s="13">
        <v>3663</v>
      </c>
      <c r="F270" s="269" t="s">
        <v>5608</v>
      </c>
      <c r="G270" s="1"/>
      <c r="I270" s="1"/>
    </row>
    <row r="271" spans="1:9">
      <c r="A271" s="269" t="s">
        <v>814</v>
      </c>
      <c r="B271" s="269" t="s">
        <v>5915</v>
      </c>
      <c r="C271" s="1" t="s">
        <v>5916</v>
      </c>
      <c r="D271" s="13">
        <v>5714</v>
      </c>
      <c r="F271" s="269" t="s">
        <v>5608</v>
      </c>
      <c r="G271" s="1"/>
      <c r="I271" s="1"/>
    </row>
    <row r="272" spans="1:9">
      <c r="A272" s="269" t="s">
        <v>815</v>
      </c>
      <c r="B272" s="269" t="s">
        <v>5917</v>
      </c>
      <c r="C272" s="1" t="s">
        <v>5918</v>
      </c>
      <c r="D272" s="13">
        <v>2322</v>
      </c>
      <c r="F272" s="269" t="s">
        <v>5614</v>
      </c>
      <c r="G272" s="1"/>
      <c r="I272" s="1"/>
    </row>
    <row r="273" spans="1:9">
      <c r="A273" s="269" t="s">
        <v>816</v>
      </c>
      <c r="B273" s="269" t="s">
        <v>5919</v>
      </c>
      <c r="C273" s="1" t="s">
        <v>5920</v>
      </c>
      <c r="D273" s="13">
        <v>2259</v>
      </c>
      <c r="F273" s="269" t="s">
        <v>5608</v>
      </c>
      <c r="G273" s="1"/>
      <c r="I273" s="1"/>
    </row>
    <row r="274" spans="1:9">
      <c r="A274" s="269" t="s">
        <v>826</v>
      </c>
      <c r="B274" s="269" t="s">
        <v>5628</v>
      </c>
      <c r="C274" s="1" t="s">
        <v>5921</v>
      </c>
      <c r="D274" s="13">
        <v>3953</v>
      </c>
      <c r="F274" s="269" t="s">
        <v>5608</v>
      </c>
      <c r="G274" s="1"/>
      <c r="I274" s="1"/>
    </row>
    <row r="275" spans="1:9">
      <c r="A275" s="269" t="s">
        <v>827</v>
      </c>
      <c r="B275" s="269" t="s">
        <v>883</v>
      </c>
      <c r="C275" s="1" t="s">
        <v>5922</v>
      </c>
      <c r="D275" s="13">
        <v>2115</v>
      </c>
      <c r="F275" s="269" t="s">
        <v>5608</v>
      </c>
      <c r="G275" s="1"/>
      <c r="I275" s="1"/>
    </row>
    <row r="276" spans="1:9">
      <c r="A276" s="269" t="s">
        <v>828</v>
      </c>
      <c r="B276" s="269" t="s">
        <v>5923</v>
      </c>
      <c r="C276" s="1" t="s">
        <v>5924</v>
      </c>
      <c r="D276" s="13">
        <v>4262</v>
      </c>
      <c r="F276" s="269" t="s">
        <v>5608</v>
      </c>
      <c r="G276" s="1"/>
      <c r="I276" s="1"/>
    </row>
    <row r="277" spans="1:9">
      <c r="A277" s="269" t="s">
        <v>829</v>
      </c>
      <c r="B277" s="269" t="s">
        <v>5925</v>
      </c>
      <c r="C277" s="1" t="s">
        <v>5926</v>
      </c>
      <c r="D277" s="13">
        <v>6061</v>
      </c>
      <c r="F277" s="269" t="s">
        <v>5608</v>
      </c>
      <c r="G277" s="1"/>
      <c r="I277" s="1"/>
    </row>
    <row r="278" spans="1:9">
      <c r="A278" s="269" t="s">
        <v>830</v>
      </c>
      <c r="B278" s="269" t="s">
        <v>5927</v>
      </c>
      <c r="C278" s="1" t="s">
        <v>5928</v>
      </c>
      <c r="D278" s="13">
        <v>2357</v>
      </c>
      <c r="F278" s="269" t="s">
        <v>5614</v>
      </c>
      <c r="G278" s="1"/>
      <c r="I278" s="1"/>
    </row>
    <row r="279" spans="1:9">
      <c r="A279" s="269" t="s">
        <v>831</v>
      </c>
      <c r="B279" s="269" t="s">
        <v>5929</v>
      </c>
      <c r="C279" s="1" t="s">
        <v>5930</v>
      </c>
      <c r="D279" s="13">
        <v>7426</v>
      </c>
      <c r="F279" s="269" t="s">
        <v>5614</v>
      </c>
      <c r="G279" s="1"/>
      <c r="I279" s="1"/>
    </row>
    <row r="280" spans="1:9">
      <c r="A280" s="269" t="s">
        <v>832</v>
      </c>
      <c r="B280" s="269" t="s">
        <v>5931</v>
      </c>
      <c r="C280" s="1" t="s">
        <v>5932</v>
      </c>
      <c r="D280" s="13">
        <v>4631</v>
      </c>
      <c r="F280" s="269" t="s">
        <v>5608</v>
      </c>
      <c r="G280" s="1"/>
      <c r="I280" s="1"/>
    </row>
    <row r="281" spans="1:9">
      <c r="A281" s="269" t="s">
        <v>833</v>
      </c>
      <c r="B281" s="269" t="s">
        <v>5933</v>
      </c>
      <c r="C281" s="1" t="s">
        <v>5934</v>
      </c>
      <c r="D281" s="13">
        <v>2133</v>
      </c>
      <c r="F281" s="269" t="s">
        <v>5614</v>
      </c>
      <c r="G281" s="1"/>
      <c r="I281" s="1"/>
    </row>
    <row r="282" spans="1:9">
      <c r="A282" s="269" t="s">
        <v>834</v>
      </c>
      <c r="B282" s="269" t="s">
        <v>5935</v>
      </c>
      <c r="C282" s="1" t="s">
        <v>5936</v>
      </c>
      <c r="D282" s="13">
        <v>2218</v>
      </c>
      <c r="F282" s="269" t="s">
        <v>5614</v>
      </c>
      <c r="G282" s="1"/>
      <c r="I282" s="1"/>
    </row>
    <row r="283" spans="1:9">
      <c r="A283" s="269" t="s">
        <v>835</v>
      </c>
      <c r="B283" s="269" t="s">
        <v>5937</v>
      </c>
      <c r="C283" s="1" t="s">
        <v>5938</v>
      </c>
      <c r="D283" s="13">
        <v>2285</v>
      </c>
      <c r="F283" s="269" t="s">
        <v>5608</v>
      </c>
      <c r="G283" s="1"/>
      <c r="I283" s="1"/>
    </row>
    <row r="284" spans="1:9">
      <c r="A284" s="269" t="s">
        <v>836</v>
      </c>
      <c r="B284" s="269" t="s">
        <v>5939</v>
      </c>
      <c r="C284" s="1" t="s">
        <v>5940</v>
      </c>
      <c r="D284" s="13">
        <v>6303</v>
      </c>
      <c r="F284" s="269" t="s">
        <v>5608</v>
      </c>
      <c r="G284" s="1"/>
      <c r="I284" s="1"/>
    </row>
    <row r="285" spans="1:9">
      <c r="A285" s="269" t="s">
        <v>837</v>
      </c>
      <c r="B285" s="269" t="s">
        <v>5941</v>
      </c>
      <c r="C285" s="1" t="s">
        <v>5942</v>
      </c>
      <c r="D285" s="13">
        <v>4906</v>
      </c>
      <c r="F285" s="269" t="s">
        <v>5614</v>
      </c>
      <c r="G285" s="1"/>
      <c r="I285" s="1"/>
    </row>
    <row r="286" spans="1:9">
      <c r="A286" s="269" t="s">
        <v>838</v>
      </c>
      <c r="B286" s="269" t="s">
        <v>5943</v>
      </c>
      <c r="C286" s="1" t="s">
        <v>5944</v>
      </c>
      <c r="D286" s="13">
        <v>3852</v>
      </c>
      <c r="F286" s="269" t="s">
        <v>5614</v>
      </c>
      <c r="G286" s="1"/>
      <c r="I286" s="1"/>
    </row>
    <row r="287" spans="1:9">
      <c r="A287" s="269" t="s">
        <v>840</v>
      </c>
      <c r="B287" s="269" t="s">
        <v>5945</v>
      </c>
      <c r="C287" s="1" t="s">
        <v>5946</v>
      </c>
      <c r="D287" s="13">
        <v>6542</v>
      </c>
      <c r="F287" s="269" t="s">
        <v>5608</v>
      </c>
      <c r="G287" s="1"/>
      <c r="I287" s="1"/>
    </row>
    <row r="288" spans="1:9">
      <c r="A288" s="269" t="s">
        <v>841</v>
      </c>
      <c r="B288" s="269" t="s">
        <v>5947</v>
      </c>
      <c r="C288" s="1" t="s">
        <v>5948</v>
      </c>
      <c r="D288" s="13">
        <v>2433</v>
      </c>
      <c r="F288" s="269" t="s">
        <v>5608</v>
      </c>
      <c r="G288" s="1"/>
      <c r="I288" s="1"/>
    </row>
    <row r="289" spans="1:9">
      <c r="A289" s="269" t="s">
        <v>878</v>
      </c>
      <c r="B289" s="269" t="s">
        <v>5949</v>
      </c>
      <c r="C289" s="1" t="s">
        <v>5950</v>
      </c>
      <c r="D289" s="13">
        <v>2263</v>
      </c>
      <c r="F289" s="269" t="s">
        <v>5608</v>
      </c>
      <c r="G289" s="1"/>
      <c r="I289" s="1"/>
    </row>
    <row r="290" spans="1:9">
      <c r="D290" s="275"/>
      <c r="F290" s="269"/>
    </row>
    <row r="291" spans="1:9">
      <c r="A291" s="269" t="s">
        <v>5758</v>
      </c>
      <c r="D291" s="271">
        <f>SUM(D269:D271)+SUM(D273:D277)+D280+D283+D284+SUM(D287:D289)</f>
        <v>57499</v>
      </c>
    </row>
    <row r="292" spans="1:9">
      <c r="A292" s="269" t="s">
        <v>5840</v>
      </c>
      <c r="D292" s="271">
        <f>D272+D278+D279+D281+D282+D285+D286</f>
        <v>25214</v>
      </c>
    </row>
    <row r="293" spans="1:9">
      <c r="A293" s="269"/>
      <c r="D293" s="271"/>
    </row>
    <row r="294" spans="1:9">
      <c r="A294" s="269" t="s">
        <v>5951</v>
      </c>
      <c r="D294" s="271"/>
    </row>
    <row r="295" spans="1:9">
      <c r="A295" s="269"/>
      <c r="B295" s="269"/>
      <c r="D295" s="281"/>
    </row>
    <row r="296" spans="1:9">
      <c r="A296" s="269"/>
      <c r="B296" s="269"/>
      <c r="D296" s="281"/>
    </row>
    <row r="297" spans="1:9">
      <c r="D297" s="10" t="s">
        <v>285</v>
      </c>
      <c r="E297" s="38"/>
      <c r="F297" s="38" t="s">
        <v>4116</v>
      </c>
    </row>
    <row r="298" spans="1:9">
      <c r="D298" s="236">
        <v>2016</v>
      </c>
      <c r="E298" s="38"/>
      <c r="F298" s="41" t="s">
        <v>286</v>
      </c>
    </row>
    <row r="299" spans="1:9">
      <c r="A299" s="269" t="s">
        <v>5952</v>
      </c>
      <c r="D299" s="271">
        <f>SUM(D300:D324)</f>
        <v>84249</v>
      </c>
    </row>
    <row r="300" spans="1:9">
      <c r="A300" s="269" t="s">
        <v>812</v>
      </c>
      <c r="B300" s="269" t="s">
        <v>998</v>
      </c>
      <c r="C300" s="1" t="s">
        <v>5953</v>
      </c>
      <c r="D300" s="7">
        <v>4091</v>
      </c>
      <c r="F300" s="269" t="s">
        <v>5615</v>
      </c>
      <c r="G300" s="1"/>
      <c r="I300" s="1"/>
    </row>
    <row r="301" spans="1:9">
      <c r="A301" s="269" t="s">
        <v>813</v>
      </c>
      <c r="B301" s="269" t="s">
        <v>5954</v>
      </c>
      <c r="C301" s="1" t="s">
        <v>5955</v>
      </c>
      <c r="D301" s="7">
        <v>3841</v>
      </c>
      <c r="F301" s="269" t="s">
        <v>5608</v>
      </c>
      <c r="G301" s="1"/>
      <c r="I301" s="1"/>
    </row>
    <row r="302" spans="1:9">
      <c r="A302" s="269" t="s">
        <v>814</v>
      </c>
      <c r="B302" s="269" t="s">
        <v>5956</v>
      </c>
      <c r="C302" s="1" t="s">
        <v>5957</v>
      </c>
      <c r="D302" s="7">
        <v>3523</v>
      </c>
      <c r="F302" s="269" t="s">
        <v>5608</v>
      </c>
      <c r="G302" s="1"/>
      <c r="I302" s="1"/>
    </row>
    <row r="303" spans="1:9">
      <c r="A303" s="269" t="s">
        <v>815</v>
      </c>
      <c r="B303" s="269" t="s">
        <v>5958</v>
      </c>
      <c r="C303" s="1" t="s">
        <v>5959</v>
      </c>
      <c r="D303" s="7">
        <v>1935</v>
      </c>
      <c r="F303" s="269" t="s">
        <v>4542</v>
      </c>
      <c r="G303" s="1"/>
      <c r="I303" s="1"/>
    </row>
    <row r="304" spans="1:9">
      <c r="A304" s="269" t="s">
        <v>816</v>
      </c>
      <c r="B304" s="269" t="s">
        <v>5960</v>
      </c>
      <c r="C304" s="1" t="s">
        <v>5961</v>
      </c>
      <c r="D304" s="7">
        <v>3844</v>
      </c>
      <c r="F304" s="269" t="s">
        <v>5615</v>
      </c>
      <c r="G304" s="1"/>
      <c r="I304" s="1"/>
    </row>
    <row r="305" spans="1:9">
      <c r="A305" s="269" t="s">
        <v>826</v>
      </c>
      <c r="B305" s="269" t="s">
        <v>5962</v>
      </c>
      <c r="C305" s="1" t="s">
        <v>5963</v>
      </c>
      <c r="D305" s="7">
        <v>5397</v>
      </c>
      <c r="F305" s="269" t="s">
        <v>5615</v>
      </c>
      <c r="G305" s="1"/>
      <c r="I305" s="1"/>
    </row>
    <row r="306" spans="1:9">
      <c r="A306" s="269" t="s">
        <v>827</v>
      </c>
      <c r="B306" s="269" t="s">
        <v>5964</v>
      </c>
      <c r="C306" s="1" t="s">
        <v>5965</v>
      </c>
      <c r="D306" s="7">
        <v>1845</v>
      </c>
      <c r="F306" s="269" t="s">
        <v>5608</v>
      </c>
      <c r="G306" s="1"/>
      <c r="I306" s="1"/>
    </row>
    <row r="307" spans="1:9">
      <c r="A307" s="269" t="s">
        <v>828</v>
      </c>
      <c r="B307" s="269" t="s">
        <v>5966</v>
      </c>
      <c r="C307" s="1" t="s">
        <v>5967</v>
      </c>
      <c r="D307" s="7">
        <v>2048</v>
      </c>
      <c r="F307" s="269" t="s">
        <v>5615</v>
      </c>
      <c r="G307" s="1"/>
      <c r="I307" s="1"/>
    </row>
    <row r="308" spans="1:9">
      <c r="A308" s="269" t="s">
        <v>829</v>
      </c>
      <c r="B308" s="269" t="s">
        <v>5968</v>
      </c>
      <c r="C308" s="1" t="s">
        <v>5969</v>
      </c>
      <c r="D308" s="7">
        <v>2255</v>
      </c>
      <c r="F308" s="269" t="s">
        <v>5615</v>
      </c>
      <c r="G308" s="1"/>
      <c r="I308" s="1"/>
    </row>
    <row r="309" spans="1:9">
      <c r="A309" s="269" t="s">
        <v>830</v>
      </c>
      <c r="B309" s="269" t="s">
        <v>5970</v>
      </c>
      <c r="C309" s="1" t="s">
        <v>5971</v>
      </c>
      <c r="D309" s="7">
        <v>2973</v>
      </c>
      <c r="F309" s="269" t="s">
        <v>5615</v>
      </c>
      <c r="G309" s="1"/>
      <c r="I309" s="1"/>
    </row>
    <row r="310" spans="1:9">
      <c r="A310" s="269" t="s">
        <v>831</v>
      </c>
      <c r="B310" s="269" t="s">
        <v>5972</v>
      </c>
      <c r="C310" s="1" t="s">
        <v>5973</v>
      </c>
      <c r="D310" s="7">
        <v>1871</v>
      </c>
      <c r="F310" s="269" t="s">
        <v>5615</v>
      </c>
      <c r="G310" s="1"/>
      <c r="I310" s="1"/>
    </row>
    <row r="311" spans="1:9">
      <c r="A311" s="269" t="s">
        <v>832</v>
      </c>
      <c r="B311" s="269" t="s">
        <v>5974</v>
      </c>
      <c r="C311" s="1" t="s">
        <v>5975</v>
      </c>
      <c r="D311" s="7">
        <v>1859</v>
      </c>
      <c r="F311" s="269" t="s">
        <v>5615</v>
      </c>
      <c r="G311" s="1"/>
      <c r="I311" s="1"/>
    </row>
    <row r="312" spans="1:9">
      <c r="A312" s="269" t="s">
        <v>833</v>
      </c>
      <c r="B312" s="269" t="s">
        <v>5976</v>
      </c>
      <c r="C312" s="1" t="s">
        <v>5977</v>
      </c>
      <c r="D312" s="7">
        <v>1996</v>
      </c>
      <c r="F312" s="236" t="s">
        <v>4542</v>
      </c>
      <c r="G312" s="1"/>
      <c r="I312" s="1"/>
    </row>
    <row r="313" spans="1:9">
      <c r="A313" s="269" t="s">
        <v>834</v>
      </c>
      <c r="B313" s="269" t="s">
        <v>5978</v>
      </c>
      <c r="C313" s="1" t="s">
        <v>5979</v>
      </c>
      <c r="D313" s="8">
        <v>6509</v>
      </c>
      <c r="F313" s="269" t="s">
        <v>4542</v>
      </c>
      <c r="G313" s="1"/>
      <c r="I313" s="1"/>
    </row>
    <row r="314" spans="1:9">
      <c r="A314" s="269" t="s">
        <v>835</v>
      </c>
      <c r="B314" s="269" t="s">
        <v>5980</v>
      </c>
      <c r="C314" s="1" t="s">
        <v>5981</v>
      </c>
      <c r="D314" s="8">
        <v>3712</v>
      </c>
      <c r="F314" s="269" t="s">
        <v>5615</v>
      </c>
      <c r="G314" s="1"/>
      <c r="I314" s="1"/>
    </row>
    <row r="315" spans="1:9">
      <c r="A315" s="269" t="s">
        <v>836</v>
      </c>
      <c r="B315" s="269" t="s">
        <v>5982</v>
      </c>
      <c r="C315" s="1" t="s">
        <v>5983</v>
      </c>
      <c r="D315" s="8">
        <v>5704</v>
      </c>
      <c r="F315" s="269" t="s">
        <v>4542</v>
      </c>
      <c r="G315" s="1"/>
      <c r="I315" s="1"/>
    </row>
    <row r="316" spans="1:9">
      <c r="A316" s="269" t="s">
        <v>837</v>
      </c>
      <c r="B316" s="269" t="s">
        <v>5984</v>
      </c>
      <c r="C316" s="1" t="s">
        <v>5985</v>
      </c>
      <c r="D316" s="8">
        <v>3862</v>
      </c>
      <c r="F316" s="269" t="s">
        <v>5615</v>
      </c>
      <c r="G316" s="1"/>
      <c r="I316" s="1"/>
    </row>
    <row r="317" spans="1:9">
      <c r="A317" s="269" t="s">
        <v>838</v>
      </c>
      <c r="B317" s="269" t="s">
        <v>5986</v>
      </c>
      <c r="C317" s="1" t="s">
        <v>5987</v>
      </c>
      <c r="D317" s="8">
        <v>3400</v>
      </c>
      <c r="F317" s="269" t="s">
        <v>5615</v>
      </c>
      <c r="G317" s="1"/>
      <c r="I317" s="1"/>
    </row>
    <row r="318" spans="1:9">
      <c r="A318" s="269" t="s">
        <v>840</v>
      </c>
      <c r="B318" s="269" t="s">
        <v>5988</v>
      </c>
      <c r="C318" s="1" t="s">
        <v>5989</v>
      </c>
      <c r="D318" s="8">
        <v>2186</v>
      </c>
      <c r="F318" s="269" t="s">
        <v>5615</v>
      </c>
      <c r="G318" s="1"/>
      <c r="I318" s="1"/>
    </row>
    <row r="319" spans="1:9">
      <c r="A319" s="269" t="s">
        <v>841</v>
      </c>
      <c r="B319" s="269" t="s">
        <v>5990</v>
      </c>
      <c r="C319" s="1" t="s">
        <v>5991</v>
      </c>
      <c r="D319" s="8">
        <v>6464</v>
      </c>
      <c r="F319" s="269" t="s">
        <v>5615</v>
      </c>
      <c r="G319" s="1"/>
      <c r="I319" s="1"/>
    </row>
    <row r="320" spans="1:9">
      <c r="A320" s="269" t="s">
        <v>878</v>
      </c>
      <c r="B320" s="269" t="s">
        <v>5992</v>
      </c>
      <c r="C320" s="1" t="s">
        <v>5993</v>
      </c>
      <c r="D320" s="8">
        <v>5540</v>
      </c>
      <c r="F320" s="269" t="s">
        <v>5615</v>
      </c>
      <c r="G320" s="1"/>
      <c r="I320" s="1"/>
    </row>
    <row r="321" spans="1:9">
      <c r="A321" s="269" t="s">
        <v>879</v>
      </c>
      <c r="B321" s="269" t="s">
        <v>5994</v>
      </c>
      <c r="C321" s="1" t="s">
        <v>5995</v>
      </c>
      <c r="D321" s="8">
        <v>1474</v>
      </c>
      <c r="F321" s="269" t="s">
        <v>4542</v>
      </c>
      <c r="G321" s="1"/>
      <c r="I321" s="1"/>
    </row>
    <row r="322" spans="1:9">
      <c r="A322" s="269" t="s">
        <v>880</v>
      </c>
      <c r="B322" s="269" t="s">
        <v>5996</v>
      </c>
      <c r="C322" s="1" t="s">
        <v>5997</v>
      </c>
      <c r="D322" s="7">
        <v>2019</v>
      </c>
      <c r="F322" s="269" t="s">
        <v>5608</v>
      </c>
      <c r="G322" s="1"/>
      <c r="I322" s="1"/>
    </row>
    <row r="323" spans="1:9">
      <c r="A323" s="269" t="s">
        <v>721</v>
      </c>
      <c r="B323" s="269" t="s">
        <v>5998</v>
      </c>
      <c r="C323" s="1" t="s">
        <v>5999</v>
      </c>
      <c r="D323" s="8">
        <v>1963</v>
      </c>
      <c r="F323" s="269" t="s">
        <v>5615</v>
      </c>
      <c r="G323" s="1"/>
      <c r="I323" s="1"/>
    </row>
    <row r="324" spans="1:9">
      <c r="A324" s="269" t="s">
        <v>722</v>
      </c>
      <c r="B324" s="269" t="s">
        <v>6000</v>
      </c>
      <c r="C324" s="1" t="s">
        <v>6001</v>
      </c>
      <c r="D324" s="8">
        <v>3938</v>
      </c>
      <c r="F324" s="269" t="s">
        <v>5615</v>
      </c>
      <c r="G324" s="1"/>
      <c r="I324" s="1"/>
    </row>
    <row r="325" spans="1:9" ht="15" customHeight="1">
      <c r="D325" s="275"/>
    </row>
    <row r="326" spans="1:9" ht="15" customHeight="1">
      <c r="A326" s="269" t="s">
        <v>4719</v>
      </c>
      <c r="D326" s="275">
        <f>D303+D312+D313+D315+D321</f>
        <v>17618</v>
      </c>
    </row>
    <row r="327" spans="1:9">
      <c r="A327" s="236" t="s">
        <v>5758</v>
      </c>
      <c r="D327" s="275">
        <f>D301+D302+D306+D322</f>
        <v>11228</v>
      </c>
    </row>
    <row r="328" spans="1:9" ht="15" customHeight="1">
      <c r="A328" s="269" t="s">
        <v>5658</v>
      </c>
      <c r="D328" s="271">
        <f>D300+D304+D305+SUM(D307:D311)+D314+SUM(D316:D320)+D323+D324</f>
        <v>55403</v>
      </c>
      <c r="E328" s="271"/>
    </row>
    <row r="330" spans="1:9" ht="15" customHeight="1">
      <c r="A330" s="236" t="s">
        <v>6002</v>
      </c>
    </row>
  </sheetData>
  <printOptions gridLinesSet="0"/>
  <pageMargins left="0.78740157480314965" right="0" top="0.51181102362204722" bottom="0.51181102362204722" header="0.51181102362204722" footer="0.51181102362204722"/>
  <pageSetup paperSize="9" scale="72" orientation="portrait" horizontalDpi="300" verticalDpi="300" r:id="rId1"/>
  <headerFooter alignWithMargins="0">
    <oddFooter>&amp;C&amp;"Times New Roman,Regular"&amp;8&amp;P of &amp;N</oddFooter>
  </headerFooter>
  <rowBreaks count="7" manualBreakCount="7">
    <brk id="92" max="16383" man="1"/>
    <brk id="125" max="16383" man="1"/>
    <brk id="160" max="16383" man="1"/>
    <brk id="191" max="16383" man="1"/>
    <brk id="220" max="16383" man="1"/>
    <brk id="265" max="16383" man="1"/>
    <brk id="29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44"/>
  <sheetViews>
    <sheetView showGridLines="0" zoomScaleNormal="100" workbookViewId="0"/>
  </sheetViews>
  <sheetFormatPr defaultColWidth="12.59765625" defaultRowHeight="14.5"/>
  <cols>
    <col min="1" max="1" width="4.8984375" style="11" customWidth="1"/>
    <col min="2" max="2" width="40.69921875" style="11" customWidth="1"/>
    <col min="3" max="3" width="12.59765625" style="11" customWidth="1"/>
    <col min="4" max="4" width="10" style="11" customWidth="1"/>
    <col min="5" max="5" width="2.296875" style="11" customWidth="1"/>
    <col min="6" max="6" width="30" style="11" customWidth="1"/>
    <col min="7" max="16384" width="12.59765625" style="11"/>
  </cols>
  <sheetData>
    <row r="1" spans="1:6">
      <c r="A1" s="249" t="s">
        <v>1075</v>
      </c>
      <c r="D1" s="10">
        <v>2016</v>
      </c>
    </row>
    <row r="3" spans="1:6">
      <c r="A3" s="12" t="s">
        <v>6819</v>
      </c>
      <c r="C3" s="12"/>
      <c r="D3" s="332">
        <f t="shared" ref="D3" si="0">D36</f>
        <v>118210</v>
      </c>
    </row>
    <row r="4" spans="1:6">
      <c r="A4" s="12" t="s">
        <v>6820</v>
      </c>
      <c r="C4" s="12"/>
      <c r="D4" s="332">
        <f t="shared" ref="D4" si="1">D74</f>
        <v>197493</v>
      </c>
    </row>
    <row r="5" spans="1:6" ht="15" thickBot="1">
      <c r="A5" s="12" t="s">
        <v>6821</v>
      </c>
      <c r="C5" s="12"/>
      <c r="D5" s="333">
        <f t="shared" ref="D5" si="2">D118</f>
        <v>123871</v>
      </c>
    </row>
    <row r="6" spans="1:6" ht="15" thickBot="1">
      <c r="D6" s="333">
        <f t="shared" ref="D6" si="3">SUM(D3:D5)</f>
        <v>439574</v>
      </c>
    </row>
    <row r="7" spans="1:6">
      <c r="D7" s="334"/>
    </row>
    <row r="8" spans="1:6">
      <c r="A8" s="12" t="s">
        <v>6822</v>
      </c>
      <c r="D8" s="332">
        <f>D65</f>
        <v>73269</v>
      </c>
      <c r="F8" s="12" t="s">
        <v>6823</v>
      </c>
    </row>
    <row r="9" spans="1:6">
      <c r="D9" s="334"/>
    </row>
    <row r="10" spans="1:6">
      <c r="A10" s="12" t="s">
        <v>6824</v>
      </c>
      <c r="D10" s="334">
        <f>D107</f>
        <v>11931</v>
      </c>
      <c r="F10" s="12" t="s">
        <v>6825</v>
      </c>
    </row>
    <row r="11" spans="1:6" ht="15" thickBot="1">
      <c r="D11" s="333">
        <f t="shared" ref="D11" si="4">D139</f>
        <v>59257</v>
      </c>
      <c r="F11" s="12" t="s">
        <v>6826</v>
      </c>
    </row>
    <row r="12" spans="1:6" ht="15" thickBot="1">
      <c r="D12" s="333">
        <f t="shared" ref="D12" si="5">D10+D11</f>
        <v>71188</v>
      </c>
      <c r="F12" s="12"/>
    </row>
    <row r="13" spans="1:6">
      <c r="D13" s="334"/>
    </row>
    <row r="14" spans="1:6">
      <c r="A14" s="12" t="s">
        <v>6827</v>
      </c>
      <c r="D14" s="332">
        <f t="shared" ref="D14" si="6">D140</f>
        <v>64614</v>
      </c>
      <c r="F14" s="12" t="s">
        <v>6826</v>
      </c>
    </row>
    <row r="15" spans="1:6" ht="15" thickBot="1">
      <c r="D15" s="333">
        <f t="shared" ref="D15" si="7">D108</f>
        <v>7267</v>
      </c>
      <c r="F15" s="12" t="s">
        <v>6825</v>
      </c>
    </row>
    <row r="16" spans="1:6" ht="15" thickBot="1">
      <c r="D16" s="333">
        <f t="shared" ref="D16" si="8">D14+D15</f>
        <v>71881</v>
      </c>
    </row>
    <row r="17" spans="1:6">
      <c r="D17" s="334"/>
    </row>
    <row r="18" spans="1:6">
      <c r="A18" s="12" t="s">
        <v>6828</v>
      </c>
      <c r="D18" s="332">
        <f t="shared" ref="D18" si="9">D66</f>
        <v>14316</v>
      </c>
      <c r="F18" s="12" t="s">
        <v>6823</v>
      </c>
    </row>
    <row r="19" spans="1:6" ht="15" thickBot="1">
      <c r="D19" s="333">
        <f t="shared" ref="D19" si="10">D109</f>
        <v>57049</v>
      </c>
      <c r="F19" s="12" t="s">
        <v>6825</v>
      </c>
    </row>
    <row r="20" spans="1:6" ht="15" thickBot="1">
      <c r="D20" s="333">
        <f t="shared" ref="D20" si="11">SUM(D18:D19)</f>
        <v>71365</v>
      </c>
    </row>
    <row r="21" spans="1:6">
      <c r="D21" s="334"/>
    </row>
    <row r="22" spans="1:6">
      <c r="A22" s="12" t="s">
        <v>6829</v>
      </c>
      <c r="D22" s="332">
        <f t="shared" ref="D22" si="12">D67</f>
        <v>30625</v>
      </c>
      <c r="F22" s="12" t="s">
        <v>6823</v>
      </c>
    </row>
    <row r="23" spans="1:6" ht="15" thickBot="1">
      <c r="D23" s="333">
        <f t="shared" ref="D23" si="13">D110</f>
        <v>43573</v>
      </c>
      <c r="F23" s="12" t="s">
        <v>6825</v>
      </c>
    </row>
    <row r="24" spans="1:6" ht="15" thickBot="1">
      <c r="D24" s="333">
        <f t="shared" ref="D24" si="14">D22+D23</f>
        <v>74198</v>
      </c>
    </row>
    <row r="25" spans="1:6">
      <c r="D25" s="334"/>
    </row>
    <row r="26" spans="1:6">
      <c r="A26" s="12" t="s">
        <v>6830</v>
      </c>
      <c r="D26" s="332">
        <f t="shared" ref="D26" si="15">D111</f>
        <v>77673</v>
      </c>
      <c r="F26" s="12" t="s">
        <v>6825</v>
      </c>
    </row>
    <row r="27" spans="1:6">
      <c r="D27" s="334"/>
    </row>
    <row r="28" spans="1:6">
      <c r="A28" s="12" t="s">
        <v>1041</v>
      </c>
      <c r="D28" s="332">
        <f>D8+D12+D16+D20+D24+D26</f>
        <v>439574</v>
      </c>
    </row>
    <row r="29" spans="1:6">
      <c r="D29" s="334"/>
    </row>
    <row r="30" spans="1:6">
      <c r="A30" s="12" t="s">
        <v>6831</v>
      </c>
    </row>
    <row r="31" spans="1:6">
      <c r="A31" s="12" t="s">
        <v>6832</v>
      </c>
    </row>
    <row r="34" spans="1:9">
      <c r="D34" s="10" t="s">
        <v>285</v>
      </c>
      <c r="F34" s="5" t="s">
        <v>4116</v>
      </c>
    </row>
    <row r="35" spans="1:9">
      <c r="D35" s="10">
        <v>2016</v>
      </c>
      <c r="F35" s="12" t="s">
        <v>286</v>
      </c>
    </row>
    <row r="36" spans="1:9">
      <c r="A36" s="12" t="s">
        <v>6833</v>
      </c>
      <c r="C36" s="12"/>
      <c r="D36" s="332">
        <f>SUM(D37:D63)</f>
        <v>118210</v>
      </c>
    </row>
    <row r="37" spans="1:9">
      <c r="A37" s="12" t="s">
        <v>812</v>
      </c>
      <c r="B37" s="12" t="s">
        <v>5561</v>
      </c>
      <c r="C37" s="267" t="s">
        <v>6834</v>
      </c>
      <c r="D37" s="7">
        <v>6348</v>
      </c>
      <c r="F37" s="12" t="s">
        <v>6822</v>
      </c>
      <c r="G37" s="1"/>
      <c r="I37" s="1"/>
    </row>
    <row r="38" spans="1:9">
      <c r="A38" s="12" t="s">
        <v>813</v>
      </c>
      <c r="B38" s="12" t="s">
        <v>6835</v>
      </c>
      <c r="C38" s="267" t="s">
        <v>6836</v>
      </c>
      <c r="D38" s="335">
        <v>5805</v>
      </c>
      <c r="F38" s="12" t="s">
        <v>6829</v>
      </c>
      <c r="G38" s="1"/>
      <c r="I38" s="1"/>
    </row>
    <row r="39" spans="1:9">
      <c r="A39" s="12" t="s">
        <v>814</v>
      </c>
      <c r="B39" s="12" t="s">
        <v>883</v>
      </c>
      <c r="C39" s="267" t="s">
        <v>6837</v>
      </c>
      <c r="D39" s="7">
        <v>5000</v>
      </c>
      <c r="F39" s="12" t="s">
        <v>6822</v>
      </c>
      <c r="G39" s="1"/>
      <c r="I39" s="1"/>
    </row>
    <row r="40" spans="1:9">
      <c r="A40" s="12" t="s">
        <v>815</v>
      </c>
      <c r="B40" s="12" t="s">
        <v>6838</v>
      </c>
      <c r="C40" s="267" t="s">
        <v>6839</v>
      </c>
      <c r="D40" s="7">
        <v>5652</v>
      </c>
      <c r="F40" s="12" t="s">
        <v>6822</v>
      </c>
      <c r="G40" s="1"/>
      <c r="I40" s="1"/>
    </row>
    <row r="41" spans="1:9">
      <c r="A41" s="12" t="s">
        <v>816</v>
      </c>
      <c r="B41" s="12" t="s">
        <v>6840</v>
      </c>
      <c r="C41" s="267" t="s">
        <v>6841</v>
      </c>
      <c r="D41" s="335">
        <v>3364</v>
      </c>
      <c r="F41" s="12" t="s">
        <v>6829</v>
      </c>
      <c r="G41" s="1"/>
      <c r="I41" s="1"/>
    </row>
    <row r="42" spans="1:9">
      <c r="A42" s="12" t="s">
        <v>826</v>
      </c>
      <c r="B42" s="12" t="s">
        <v>6842</v>
      </c>
      <c r="C42" s="267" t="s">
        <v>6843</v>
      </c>
      <c r="D42" s="7">
        <v>4908</v>
      </c>
      <c r="F42" s="12" t="s">
        <v>6822</v>
      </c>
      <c r="G42" s="1"/>
      <c r="I42" s="1"/>
    </row>
    <row r="43" spans="1:9">
      <c r="A43" s="12" t="s">
        <v>827</v>
      </c>
      <c r="B43" s="12" t="s">
        <v>6844</v>
      </c>
      <c r="C43" s="267" t="s">
        <v>6845</v>
      </c>
      <c r="D43" s="335">
        <v>2639</v>
      </c>
      <c r="F43" s="12" t="s">
        <v>6828</v>
      </c>
      <c r="G43" s="1"/>
      <c r="I43" s="1"/>
    </row>
    <row r="44" spans="1:9">
      <c r="A44" s="12" t="s">
        <v>828</v>
      </c>
      <c r="B44" s="12" t="s">
        <v>6846</v>
      </c>
      <c r="C44" s="267" t="s">
        <v>6847</v>
      </c>
      <c r="D44" s="335">
        <v>3131</v>
      </c>
      <c r="F44" s="12" t="s">
        <v>6822</v>
      </c>
      <c r="G44" s="1"/>
      <c r="I44" s="1"/>
    </row>
    <row r="45" spans="1:9">
      <c r="A45" s="12" t="s">
        <v>829</v>
      </c>
      <c r="B45" s="12" t="s">
        <v>6848</v>
      </c>
      <c r="C45" s="267" t="s">
        <v>6849</v>
      </c>
      <c r="D45" s="7">
        <v>6127</v>
      </c>
      <c r="F45" s="12" t="s">
        <v>6822</v>
      </c>
      <c r="G45" s="1"/>
      <c r="I45" s="1"/>
    </row>
    <row r="46" spans="1:9">
      <c r="A46" s="12" t="s">
        <v>830</v>
      </c>
      <c r="B46" s="12" t="s">
        <v>6850</v>
      </c>
      <c r="C46" s="267" t="s">
        <v>6851</v>
      </c>
      <c r="D46" s="335">
        <v>6173</v>
      </c>
      <c r="F46" s="12" t="s">
        <v>6829</v>
      </c>
      <c r="G46" s="1"/>
      <c r="I46" s="1"/>
    </row>
    <row r="47" spans="1:9">
      <c r="A47" s="12" t="s">
        <v>831</v>
      </c>
      <c r="B47" s="12" t="s">
        <v>6852</v>
      </c>
      <c r="C47" s="267" t="s">
        <v>6853</v>
      </c>
      <c r="D47" s="7">
        <v>5233</v>
      </c>
      <c r="F47" s="12" t="s">
        <v>6822</v>
      </c>
      <c r="G47" s="1"/>
      <c r="I47" s="1"/>
    </row>
    <row r="48" spans="1:9">
      <c r="A48" s="12" t="s">
        <v>832</v>
      </c>
      <c r="B48" s="12" t="s">
        <v>6854</v>
      </c>
      <c r="C48" s="267" t="s">
        <v>6855</v>
      </c>
      <c r="D48" s="335">
        <v>3214</v>
      </c>
      <c r="F48" s="12" t="s">
        <v>6829</v>
      </c>
      <c r="G48" s="1"/>
      <c r="I48" s="1"/>
    </row>
    <row r="49" spans="1:9">
      <c r="A49" s="12" t="s">
        <v>833</v>
      </c>
      <c r="B49" s="12" t="s">
        <v>6856</v>
      </c>
      <c r="C49" s="267" t="s">
        <v>6857</v>
      </c>
      <c r="D49" s="7">
        <v>5095</v>
      </c>
      <c r="F49" s="12" t="s">
        <v>6822</v>
      </c>
      <c r="G49" s="1"/>
      <c r="I49" s="1"/>
    </row>
    <row r="50" spans="1:9">
      <c r="A50" s="12" t="s">
        <v>834</v>
      </c>
      <c r="B50" s="12" t="s">
        <v>6858</v>
      </c>
      <c r="C50" s="267" t="s">
        <v>6859</v>
      </c>
      <c r="D50" s="7">
        <v>2832</v>
      </c>
      <c r="F50" s="12" t="s">
        <v>6822</v>
      </c>
      <c r="G50" s="1"/>
      <c r="I50" s="1"/>
    </row>
    <row r="51" spans="1:9">
      <c r="A51" s="12" t="s">
        <v>835</v>
      </c>
      <c r="B51" s="12" t="s">
        <v>6860</v>
      </c>
      <c r="C51" s="267" t="s">
        <v>6861</v>
      </c>
      <c r="D51" s="335">
        <v>4382</v>
      </c>
      <c r="F51" s="12" t="s">
        <v>6828</v>
      </c>
      <c r="G51" s="1"/>
      <c r="I51" s="1"/>
    </row>
    <row r="52" spans="1:9">
      <c r="A52" s="12" t="s">
        <v>836</v>
      </c>
      <c r="B52" s="12" t="s">
        <v>6862</v>
      </c>
      <c r="C52" s="267" t="s">
        <v>6863</v>
      </c>
      <c r="D52" s="7">
        <v>3096</v>
      </c>
      <c r="F52" s="12" t="s">
        <v>6822</v>
      </c>
      <c r="G52" s="1"/>
      <c r="I52" s="1"/>
    </row>
    <row r="53" spans="1:9">
      <c r="A53" s="12" t="s">
        <v>837</v>
      </c>
      <c r="B53" s="12" t="s">
        <v>6864</v>
      </c>
      <c r="C53" s="267" t="s">
        <v>6865</v>
      </c>
      <c r="D53" s="7">
        <v>3610</v>
      </c>
      <c r="F53" s="12" t="s">
        <v>6822</v>
      </c>
      <c r="G53" s="1"/>
      <c r="I53" s="1"/>
    </row>
    <row r="54" spans="1:9">
      <c r="A54" s="12" t="s">
        <v>838</v>
      </c>
      <c r="B54" s="12" t="s">
        <v>6866</v>
      </c>
      <c r="C54" s="267" t="s">
        <v>6867</v>
      </c>
      <c r="D54" s="7">
        <v>5850</v>
      </c>
      <c r="F54" s="12" t="s">
        <v>6822</v>
      </c>
      <c r="G54" s="1"/>
      <c r="I54" s="1"/>
    </row>
    <row r="55" spans="1:9">
      <c r="A55" s="12" t="s">
        <v>840</v>
      </c>
      <c r="B55" s="12" t="s">
        <v>6868</v>
      </c>
      <c r="C55" s="267" t="s">
        <v>6869</v>
      </c>
      <c r="D55" s="335">
        <v>5443</v>
      </c>
      <c r="F55" s="12" t="s">
        <v>6822</v>
      </c>
      <c r="G55" s="1"/>
      <c r="I55" s="1"/>
    </row>
    <row r="56" spans="1:9">
      <c r="A56" s="12" t="s">
        <v>841</v>
      </c>
      <c r="B56" s="12" t="s">
        <v>876</v>
      </c>
      <c r="C56" s="267" t="s">
        <v>6870</v>
      </c>
      <c r="D56" s="335">
        <v>2987</v>
      </c>
      <c r="F56" s="12" t="s">
        <v>6829</v>
      </c>
      <c r="G56" s="1"/>
      <c r="I56" s="1"/>
    </row>
    <row r="57" spans="1:9">
      <c r="A57" s="12" t="s">
        <v>878</v>
      </c>
      <c r="B57" s="12" t="s">
        <v>6871</v>
      </c>
      <c r="C57" s="267" t="s">
        <v>6872</v>
      </c>
      <c r="D57" s="335">
        <v>5868</v>
      </c>
      <c r="F57" s="12" t="s">
        <v>6822</v>
      </c>
      <c r="G57" s="1"/>
      <c r="I57" s="1"/>
    </row>
    <row r="58" spans="1:9">
      <c r="A58" s="12" t="s">
        <v>879</v>
      </c>
      <c r="B58" s="12" t="s">
        <v>6873</v>
      </c>
      <c r="C58" s="267" t="s">
        <v>6874</v>
      </c>
      <c r="D58" s="335">
        <v>5076</v>
      </c>
      <c r="F58" s="12" t="s">
        <v>6822</v>
      </c>
      <c r="G58" s="1"/>
      <c r="I58" s="1"/>
    </row>
    <row r="59" spans="1:9">
      <c r="A59" s="12" t="s">
        <v>880</v>
      </c>
      <c r="B59" s="12" t="s">
        <v>6875</v>
      </c>
      <c r="C59" s="267" t="s">
        <v>6876</v>
      </c>
      <c r="D59" s="335">
        <v>2789</v>
      </c>
      <c r="F59" s="12" t="s">
        <v>6829</v>
      </c>
      <c r="G59" s="1"/>
      <c r="I59" s="1"/>
    </row>
    <row r="60" spans="1:9">
      <c r="A60" s="12" t="s">
        <v>721</v>
      </c>
      <c r="B60" s="12" t="s">
        <v>6877</v>
      </c>
      <c r="C60" s="267" t="s">
        <v>6878</v>
      </c>
      <c r="D60" s="335">
        <v>3245</v>
      </c>
      <c r="F60" s="12" t="s">
        <v>6829</v>
      </c>
      <c r="G60" s="1"/>
      <c r="I60" s="1"/>
    </row>
    <row r="61" spans="1:9">
      <c r="A61" s="12" t="s">
        <v>722</v>
      </c>
      <c r="B61" s="12" t="s">
        <v>6879</v>
      </c>
      <c r="C61" s="267" t="s">
        <v>6880</v>
      </c>
      <c r="D61" s="335">
        <v>3476</v>
      </c>
      <c r="F61" s="12" t="s">
        <v>6828</v>
      </c>
      <c r="G61" s="1"/>
      <c r="I61" s="1"/>
    </row>
    <row r="62" spans="1:9">
      <c r="A62" s="12" t="s">
        <v>723</v>
      </c>
      <c r="B62" s="12" t="s">
        <v>6881</v>
      </c>
      <c r="C62" s="267" t="s">
        <v>6882</v>
      </c>
      <c r="D62" s="335">
        <v>3819</v>
      </c>
      <c r="F62" s="12" t="s">
        <v>6828</v>
      </c>
      <c r="G62" s="1"/>
      <c r="I62" s="1"/>
    </row>
    <row r="63" spans="1:9">
      <c r="A63" s="12">
        <v>27</v>
      </c>
      <c r="B63" s="12" t="s">
        <v>6883</v>
      </c>
      <c r="C63" s="267" t="s">
        <v>6884</v>
      </c>
      <c r="D63" s="335">
        <v>3048</v>
      </c>
      <c r="F63" s="12" t="s">
        <v>6829</v>
      </c>
      <c r="G63" s="1"/>
      <c r="I63" s="1"/>
    </row>
    <row r="64" spans="1:9">
      <c r="D64" s="334"/>
    </row>
    <row r="65" spans="1:9">
      <c r="A65" s="12" t="s">
        <v>6822</v>
      </c>
      <c r="D65" s="332">
        <f>D37+D39+D40+D42+D44+D45+D47+D49+D50+SUM(D52:D55)+D57+D58</f>
        <v>73269</v>
      </c>
    </row>
    <row r="66" spans="1:9">
      <c r="A66" s="12" t="s">
        <v>6885</v>
      </c>
      <c r="D66" s="332">
        <f>D43+D51+D61+D62</f>
        <v>14316</v>
      </c>
    </row>
    <row r="67" spans="1:9">
      <c r="A67" s="12" t="s">
        <v>6886</v>
      </c>
      <c r="D67" s="332">
        <f>D38+D41+D46+D48+D56+D59+D60+D63</f>
        <v>30625</v>
      </c>
    </row>
    <row r="68" spans="1:9">
      <c r="A68" s="12"/>
      <c r="D68" s="332"/>
    </row>
    <row r="69" spans="1:9">
      <c r="A69" s="12" t="s">
        <v>6887</v>
      </c>
      <c r="D69" s="332"/>
    </row>
    <row r="72" spans="1:9">
      <c r="D72" s="10" t="s">
        <v>285</v>
      </c>
      <c r="F72" s="5" t="s">
        <v>4116</v>
      </c>
    </row>
    <row r="73" spans="1:9">
      <c r="D73" s="10">
        <v>2016</v>
      </c>
      <c r="F73" s="12" t="s">
        <v>286</v>
      </c>
    </row>
    <row r="74" spans="1:9">
      <c r="A74" s="12" t="s">
        <v>6888</v>
      </c>
      <c r="D74" s="332">
        <f>SUM(D75:D105)</f>
        <v>197493</v>
      </c>
    </row>
    <row r="75" spans="1:9">
      <c r="A75" s="12" t="s">
        <v>812</v>
      </c>
      <c r="B75" s="12" t="s">
        <v>6889</v>
      </c>
      <c r="C75" s="267" t="s">
        <v>6890</v>
      </c>
      <c r="D75" s="7">
        <v>9699</v>
      </c>
      <c r="F75" s="12" t="s">
        <v>6828</v>
      </c>
      <c r="G75" s="1"/>
      <c r="I75" s="1"/>
    </row>
    <row r="76" spans="1:9">
      <c r="A76" s="12" t="s">
        <v>813</v>
      </c>
      <c r="B76" s="12" t="s">
        <v>6891</v>
      </c>
      <c r="C76" s="267" t="s">
        <v>6892</v>
      </c>
      <c r="D76" s="7">
        <v>11121</v>
      </c>
      <c r="F76" s="12" t="s">
        <v>6828</v>
      </c>
      <c r="G76" s="1"/>
      <c r="I76" s="1"/>
    </row>
    <row r="77" spans="1:9">
      <c r="A77" s="12" t="s">
        <v>814</v>
      </c>
      <c r="B77" s="12" t="s">
        <v>6893</v>
      </c>
      <c r="C77" s="267" t="s">
        <v>6894</v>
      </c>
      <c r="D77" s="7">
        <v>3681</v>
      </c>
      <c r="F77" s="12" t="s">
        <v>6830</v>
      </c>
      <c r="G77" s="1"/>
      <c r="I77" s="1"/>
    </row>
    <row r="78" spans="1:9">
      <c r="A78" s="12" t="s">
        <v>815</v>
      </c>
      <c r="B78" s="12" t="s">
        <v>6895</v>
      </c>
      <c r="C78" s="267" t="s">
        <v>6896</v>
      </c>
      <c r="D78" s="7">
        <v>3974</v>
      </c>
      <c r="F78" s="12" t="s">
        <v>6830</v>
      </c>
      <c r="G78" s="1"/>
      <c r="I78" s="1"/>
    </row>
    <row r="79" spans="1:9">
      <c r="A79" s="12" t="s">
        <v>816</v>
      </c>
      <c r="B79" s="12" t="s">
        <v>6897</v>
      </c>
      <c r="C79" s="267" t="s">
        <v>6898</v>
      </c>
      <c r="D79" s="7">
        <v>5709</v>
      </c>
      <c r="F79" s="12" t="s">
        <v>6829</v>
      </c>
      <c r="G79" s="1"/>
      <c r="I79" s="1"/>
    </row>
    <row r="80" spans="1:9">
      <c r="A80" s="12" t="s">
        <v>826</v>
      </c>
      <c r="B80" s="12" t="s">
        <v>6899</v>
      </c>
      <c r="C80" s="267" t="s">
        <v>6900</v>
      </c>
      <c r="D80" s="8">
        <v>7883</v>
      </c>
      <c r="F80" s="12" t="s">
        <v>6829</v>
      </c>
      <c r="G80" s="1"/>
      <c r="I80" s="1"/>
    </row>
    <row r="81" spans="1:9">
      <c r="A81" s="12" t="s">
        <v>827</v>
      </c>
      <c r="B81" s="12" t="s">
        <v>6901</v>
      </c>
      <c r="C81" s="267" t="s">
        <v>6902</v>
      </c>
      <c r="D81" s="7">
        <v>7267</v>
      </c>
      <c r="F81" s="12" t="s">
        <v>6827</v>
      </c>
      <c r="G81" s="1"/>
      <c r="I81" s="1"/>
    </row>
    <row r="82" spans="1:9">
      <c r="A82" s="12" t="s">
        <v>828</v>
      </c>
      <c r="B82" s="12" t="s">
        <v>6903</v>
      </c>
      <c r="C82" s="267" t="s">
        <v>6904</v>
      </c>
      <c r="D82" s="7">
        <v>8947</v>
      </c>
      <c r="F82" s="12" t="s">
        <v>6828</v>
      </c>
    </row>
    <row r="83" spans="1:9">
      <c r="A83" s="12" t="s">
        <v>829</v>
      </c>
      <c r="B83" s="12" t="s">
        <v>6905</v>
      </c>
      <c r="C83" s="267" t="s">
        <v>6906</v>
      </c>
      <c r="D83" s="8">
        <v>3332</v>
      </c>
      <c r="F83" s="12" t="s">
        <v>6830</v>
      </c>
    </row>
    <row r="84" spans="1:9">
      <c r="A84" s="12" t="s">
        <v>830</v>
      </c>
      <c r="B84" s="12" t="s">
        <v>6907</v>
      </c>
      <c r="C84" s="267" t="s">
        <v>6908</v>
      </c>
      <c r="D84" s="8">
        <v>5731</v>
      </c>
      <c r="F84" s="12" t="s">
        <v>6830</v>
      </c>
      <c r="G84" s="1"/>
      <c r="I84" s="1"/>
    </row>
    <row r="85" spans="1:9">
      <c r="A85" s="12" t="s">
        <v>831</v>
      </c>
      <c r="B85" s="12" t="s">
        <v>6909</v>
      </c>
      <c r="C85" s="267" t="s">
        <v>6910</v>
      </c>
      <c r="D85" s="8">
        <v>3575</v>
      </c>
      <c r="F85" s="12" t="s">
        <v>6830</v>
      </c>
      <c r="G85" s="1"/>
      <c r="I85" s="1"/>
    </row>
    <row r="86" spans="1:9">
      <c r="A86" s="12" t="s">
        <v>832</v>
      </c>
      <c r="B86" s="12" t="s">
        <v>6911</v>
      </c>
      <c r="C86" s="267" t="s">
        <v>6912</v>
      </c>
      <c r="D86" s="8">
        <v>6528</v>
      </c>
      <c r="F86" s="12" t="s">
        <v>6830</v>
      </c>
      <c r="G86" s="1"/>
      <c r="I86" s="1"/>
    </row>
    <row r="87" spans="1:9">
      <c r="A87" s="12" t="s">
        <v>833</v>
      </c>
      <c r="B87" s="12" t="s">
        <v>6913</v>
      </c>
      <c r="C87" s="267" t="s">
        <v>6914</v>
      </c>
      <c r="D87" s="8">
        <v>7402</v>
      </c>
      <c r="F87" s="12" t="s">
        <v>6830</v>
      </c>
      <c r="G87" s="1"/>
      <c r="I87" s="1"/>
    </row>
    <row r="88" spans="1:9">
      <c r="A88" s="12" t="s">
        <v>834</v>
      </c>
      <c r="B88" s="12" t="s">
        <v>6915</v>
      </c>
      <c r="C88" s="267" t="s">
        <v>6916</v>
      </c>
      <c r="D88" s="8">
        <v>3292</v>
      </c>
      <c r="F88" s="12" t="s">
        <v>6830</v>
      </c>
      <c r="G88" s="1"/>
      <c r="I88" s="1"/>
    </row>
    <row r="89" spans="1:9">
      <c r="A89" s="12" t="s">
        <v>835</v>
      </c>
      <c r="B89" s="12" t="s">
        <v>6917</v>
      </c>
      <c r="C89" s="267" t="s">
        <v>6918</v>
      </c>
      <c r="D89" s="7">
        <v>10075</v>
      </c>
      <c r="F89" s="12" t="s">
        <v>6828</v>
      </c>
    </row>
    <row r="90" spans="1:9">
      <c r="A90" s="12" t="s">
        <v>836</v>
      </c>
      <c r="B90" s="12" t="s">
        <v>6919</v>
      </c>
      <c r="C90" s="267" t="s">
        <v>6920</v>
      </c>
      <c r="D90" s="8">
        <v>3426</v>
      </c>
      <c r="F90" s="12" t="s">
        <v>6830</v>
      </c>
    </row>
    <row r="91" spans="1:9">
      <c r="A91" s="12" t="s">
        <v>837</v>
      </c>
      <c r="B91" s="12" t="s">
        <v>6921</v>
      </c>
      <c r="C91" s="267" t="s">
        <v>6922</v>
      </c>
      <c r="D91" s="7">
        <v>2198</v>
      </c>
      <c r="F91" s="12" t="s">
        <v>6828</v>
      </c>
      <c r="G91" s="1"/>
      <c r="I91" s="1"/>
    </row>
    <row r="92" spans="1:9">
      <c r="A92" s="12" t="s">
        <v>838</v>
      </c>
      <c r="B92" s="12" t="s">
        <v>6923</v>
      </c>
      <c r="C92" s="267" t="s">
        <v>6924</v>
      </c>
      <c r="D92" s="8">
        <v>5717</v>
      </c>
      <c r="F92" s="12" t="s">
        <v>6824</v>
      </c>
      <c r="G92" s="1"/>
      <c r="I92" s="1"/>
    </row>
    <row r="93" spans="1:9">
      <c r="A93" s="12" t="s">
        <v>840</v>
      </c>
      <c r="B93" s="12" t="s">
        <v>6925</v>
      </c>
      <c r="C93" s="267" t="s">
        <v>6926</v>
      </c>
      <c r="D93" s="8">
        <v>10881</v>
      </c>
      <c r="F93" s="12" t="s">
        <v>6830</v>
      </c>
      <c r="G93" s="1"/>
      <c r="I93" s="1"/>
    </row>
    <row r="94" spans="1:9">
      <c r="A94" s="12" t="s">
        <v>841</v>
      </c>
      <c r="B94" s="12" t="s">
        <v>6927</v>
      </c>
      <c r="C94" s="267" t="s">
        <v>6928</v>
      </c>
      <c r="D94" s="8">
        <v>9303</v>
      </c>
      <c r="F94" s="12" t="s">
        <v>6830</v>
      </c>
      <c r="G94" s="1"/>
      <c r="I94" s="1"/>
    </row>
    <row r="95" spans="1:9">
      <c r="A95" s="12" t="s">
        <v>878</v>
      </c>
      <c r="B95" s="12" t="s">
        <v>6929</v>
      </c>
      <c r="C95" s="267" t="s">
        <v>6930</v>
      </c>
      <c r="D95" s="8">
        <v>9108</v>
      </c>
      <c r="F95" s="12" t="s">
        <v>6830</v>
      </c>
      <c r="G95" s="1"/>
      <c r="I95" s="1"/>
    </row>
    <row r="96" spans="1:9">
      <c r="A96" s="12" t="s">
        <v>879</v>
      </c>
      <c r="B96" s="12" t="s">
        <v>6931</v>
      </c>
      <c r="C96" s="267" t="s">
        <v>6932</v>
      </c>
      <c r="D96" s="8">
        <v>3453</v>
      </c>
      <c r="F96" s="12" t="s">
        <v>6829</v>
      </c>
      <c r="G96" s="1"/>
      <c r="I96" s="1"/>
    </row>
    <row r="97" spans="1:9">
      <c r="A97" s="12" t="s">
        <v>880</v>
      </c>
      <c r="B97" s="12" t="s">
        <v>6933</v>
      </c>
      <c r="C97" s="267" t="s">
        <v>6934</v>
      </c>
      <c r="D97" s="8">
        <v>3220</v>
      </c>
      <c r="F97" s="12" t="s">
        <v>6824</v>
      </c>
      <c r="G97" s="1"/>
      <c r="I97" s="1"/>
    </row>
    <row r="98" spans="1:9">
      <c r="A98" s="12" t="s">
        <v>721</v>
      </c>
      <c r="B98" s="12" t="s">
        <v>6935</v>
      </c>
      <c r="C98" s="267" t="s">
        <v>6936</v>
      </c>
      <c r="D98" s="8">
        <v>6150</v>
      </c>
      <c r="F98" s="12" t="s">
        <v>6829</v>
      </c>
      <c r="G98" s="1"/>
      <c r="I98" s="1"/>
    </row>
    <row r="99" spans="1:9">
      <c r="A99" s="12" t="s">
        <v>722</v>
      </c>
      <c r="B99" s="12" t="s">
        <v>6937</v>
      </c>
      <c r="C99" s="267" t="s">
        <v>6938</v>
      </c>
      <c r="D99" s="8">
        <v>9582</v>
      </c>
      <c r="F99" s="12" t="s">
        <v>6829</v>
      </c>
      <c r="G99" s="1"/>
      <c r="I99" s="1"/>
    </row>
    <row r="100" spans="1:9">
      <c r="A100" s="12" t="s">
        <v>723</v>
      </c>
      <c r="B100" s="12" t="s">
        <v>6939</v>
      </c>
      <c r="C100" s="267" t="s">
        <v>6940</v>
      </c>
      <c r="D100" s="7">
        <v>7211</v>
      </c>
      <c r="F100" s="12" t="s">
        <v>6828</v>
      </c>
      <c r="G100" s="1"/>
      <c r="I100" s="1"/>
    </row>
    <row r="101" spans="1:9">
      <c r="A101" s="12">
        <v>27</v>
      </c>
      <c r="B101" s="12" t="s">
        <v>6941</v>
      </c>
      <c r="C101" s="267" t="s">
        <v>6942</v>
      </c>
      <c r="D101" s="7">
        <v>4074</v>
      </c>
      <c r="F101" s="12" t="s">
        <v>6828</v>
      </c>
    </row>
    <row r="102" spans="1:9">
      <c r="A102" s="12">
        <v>28</v>
      </c>
      <c r="B102" s="12" t="s">
        <v>6943</v>
      </c>
      <c r="C102" s="267" t="s">
        <v>6944</v>
      </c>
      <c r="D102" s="8">
        <v>10796</v>
      </c>
      <c r="F102" s="12" t="s">
        <v>6829</v>
      </c>
    </row>
    <row r="103" spans="1:9">
      <c r="A103" s="94">
        <v>29</v>
      </c>
      <c r="B103" s="12" t="s">
        <v>6945</v>
      </c>
      <c r="C103" s="267" t="s">
        <v>6946</v>
      </c>
      <c r="D103" s="8">
        <v>2994</v>
      </c>
      <c r="F103" s="12" t="s">
        <v>6824</v>
      </c>
      <c r="G103" s="1"/>
      <c r="I103" s="1"/>
    </row>
    <row r="104" spans="1:9">
      <c r="A104" s="94">
        <v>30</v>
      </c>
      <c r="B104" s="12" t="s">
        <v>6947</v>
      </c>
      <c r="C104" s="267" t="s">
        <v>6948</v>
      </c>
      <c r="D104" s="7">
        <v>7440</v>
      </c>
      <c r="F104" s="12" t="s">
        <v>6830</v>
      </c>
      <c r="G104" s="1"/>
      <c r="I104" s="1"/>
    </row>
    <row r="105" spans="1:9">
      <c r="A105" s="94">
        <v>31</v>
      </c>
      <c r="B105" s="12" t="s">
        <v>6949</v>
      </c>
      <c r="C105" s="267" t="s">
        <v>6950</v>
      </c>
      <c r="D105" s="7">
        <v>3724</v>
      </c>
      <c r="F105" s="12" t="s">
        <v>6828</v>
      </c>
    </row>
    <row r="106" spans="1:9">
      <c r="D106" s="334"/>
    </row>
    <row r="107" spans="1:9">
      <c r="A107" s="12" t="s">
        <v>6951</v>
      </c>
      <c r="D107" s="334">
        <f>D92+D97+D103</f>
        <v>11931</v>
      </c>
    </row>
    <row r="108" spans="1:9">
      <c r="A108" s="12" t="s">
        <v>6952</v>
      </c>
      <c r="D108" s="332">
        <f>D81</f>
        <v>7267</v>
      </c>
    </row>
    <row r="109" spans="1:9">
      <c r="A109" s="12" t="s">
        <v>6885</v>
      </c>
      <c r="D109" s="332">
        <f>D75+D76+D82+D89+D91+D100+D101+D105</f>
        <v>57049</v>
      </c>
    </row>
    <row r="110" spans="1:9">
      <c r="A110" s="12" t="s">
        <v>6886</v>
      </c>
      <c r="D110" s="332">
        <f>D79+D80+D96+D98+D99+D102</f>
        <v>43573</v>
      </c>
    </row>
    <row r="111" spans="1:9">
      <c r="A111" s="12" t="s">
        <v>6830</v>
      </c>
      <c r="D111" s="332">
        <f>D77+D78+SUM(D83:D88)+D90+SUM(D93:D95)+D104</f>
        <v>77673</v>
      </c>
    </row>
    <row r="112" spans="1:9">
      <c r="D112" s="334"/>
    </row>
    <row r="113" spans="1:9">
      <c r="A113" s="11" t="s">
        <v>6953</v>
      </c>
      <c r="D113" s="334"/>
    </row>
    <row r="114" spans="1:9">
      <c r="D114" s="334"/>
    </row>
    <row r="115" spans="1:9">
      <c r="D115" s="334"/>
    </row>
    <row r="116" spans="1:9">
      <c r="D116" s="10" t="s">
        <v>285</v>
      </c>
      <c r="F116" s="5" t="s">
        <v>4116</v>
      </c>
    </row>
    <row r="117" spans="1:9">
      <c r="D117" s="10">
        <v>2016</v>
      </c>
      <c r="F117" s="12" t="s">
        <v>286</v>
      </c>
    </row>
    <row r="118" spans="1:9">
      <c r="A118" s="12" t="s">
        <v>6821</v>
      </c>
      <c r="D118" s="332">
        <f t="shared" ref="D118" si="16">SUM(D119:D137)</f>
        <v>123871</v>
      </c>
    </row>
    <row r="119" spans="1:9">
      <c r="A119" s="12" t="s">
        <v>812</v>
      </c>
      <c r="B119" s="12" t="s">
        <v>6954</v>
      </c>
      <c r="C119" s="1" t="s">
        <v>6955</v>
      </c>
      <c r="D119" s="13">
        <v>5295</v>
      </c>
      <c r="F119" s="12" t="s">
        <v>6827</v>
      </c>
      <c r="G119" s="1"/>
      <c r="I119" s="1"/>
    </row>
    <row r="120" spans="1:9">
      <c r="A120" s="12" t="s">
        <v>813</v>
      </c>
      <c r="B120" s="12" t="s">
        <v>6956</v>
      </c>
      <c r="C120" s="1" t="s">
        <v>6957</v>
      </c>
      <c r="D120" s="13">
        <v>8351</v>
      </c>
      <c r="F120" s="12" t="s">
        <v>6827</v>
      </c>
      <c r="G120" s="1"/>
      <c r="I120" s="1"/>
    </row>
    <row r="121" spans="1:9">
      <c r="A121" s="12" t="s">
        <v>814</v>
      </c>
      <c r="B121" s="12" t="s">
        <v>6958</v>
      </c>
      <c r="C121" s="1" t="s">
        <v>6959</v>
      </c>
      <c r="D121" s="13">
        <v>5366</v>
      </c>
      <c r="F121" s="12" t="s">
        <v>6824</v>
      </c>
      <c r="G121" s="1"/>
      <c r="I121" s="1"/>
    </row>
    <row r="122" spans="1:9">
      <c r="A122" s="12" t="s">
        <v>815</v>
      </c>
      <c r="B122" s="12" t="s">
        <v>6960</v>
      </c>
      <c r="C122" s="1" t="s">
        <v>6961</v>
      </c>
      <c r="D122" s="13">
        <v>8227</v>
      </c>
      <c r="F122" s="12" t="s">
        <v>6824</v>
      </c>
      <c r="G122" s="1"/>
      <c r="I122" s="1"/>
    </row>
    <row r="123" spans="1:9">
      <c r="A123" s="12" t="s">
        <v>816</v>
      </c>
      <c r="B123" s="12" t="s">
        <v>6962</v>
      </c>
      <c r="C123" s="1" t="s">
        <v>6963</v>
      </c>
      <c r="D123" s="13">
        <v>4696</v>
      </c>
      <c r="F123" s="12" t="s">
        <v>6827</v>
      </c>
      <c r="G123" s="1"/>
      <c r="I123" s="1"/>
    </row>
    <row r="124" spans="1:9" ht="15.75" customHeight="1">
      <c r="A124" s="12" t="s">
        <v>826</v>
      </c>
      <c r="B124" s="12" t="s">
        <v>6964</v>
      </c>
      <c r="C124" s="1" t="s">
        <v>6965</v>
      </c>
      <c r="D124" s="13">
        <v>8243</v>
      </c>
      <c r="F124" s="12" t="s">
        <v>6827</v>
      </c>
      <c r="G124" s="1"/>
      <c r="I124" s="1"/>
    </row>
    <row r="125" spans="1:9">
      <c r="A125" s="12" t="s">
        <v>827</v>
      </c>
      <c r="B125" s="12" t="s">
        <v>6966</v>
      </c>
      <c r="C125" s="1" t="s">
        <v>6967</v>
      </c>
      <c r="D125" s="13">
        <v>6839</v>
      </c>
      <c r="F125" s="12" t="s">
        <v>6827</v>
      </c>
      <c r="G125" s="1"/>
      <c r="I125" s="1"/>
    </row>
    <row r="126" spans="1:9">
      <c r="A126" s="12" t="s">
        <v>828</v>
      </c>
      <c r="B126" s="12" t="s">
        <v>6968</v>
      </c>
      <c r="C126" s="1" t="s">
        <v>6969</v>
      </c>
      <c r="D126" s="13">
        <v>4206</v>
      </c>
      <c r="F126" s="12" t="s">
        <v>6827</v>
      </c>
      <c r="G126" s="1"/>
      <c r="I126" s="1"/>
    </row>
    <row r="127" spans="1:9">
      <c r="A127" s="12" t="s">
        <v>829</v>
      </c>
      <c r="B127" s="12" t="s">
        <v>6970</v>
      </c>
      <c r="C127" s="1" t="s">
        <v>6971</v>
      </c>
      <c r="D127" s="13">
        <v>5614</v>
      </c>
      <c r="F127" s="12" t="s">
        <v>6824</v>
      </c>
      <c r="G127" s="1"/>
      <c r="I127" s="1"/>
    </row>
    <row r="128" spans="1:9">
      <c r="A128" s="12" t="s">
        <v>830</v>
      </c>
      <c r="B128" s="12" t="s">
        <v>6972</v>
      </c>
      <c r="C128" s="1" t="s">
        <v>6973</v>
      </c>
      <c r="D128" s="13">
        <v>7492</v>
      </c>
      <c r="F128" s="12" t="s">
        <v>6824</v>
      </c>
      <c r="G128" s="1"/>
      <c r="I128" s="1"/>
    </row>
    <row r="129" spans="1:9">
      <c r="A129" s="12" t="s">
        <v>831</v>
      </c>
      <c r="B129" s="12" t="s">
        <v>6974</v>
      </c>
      <c r="C129" s="1" t="s">
        <v>6975</v>
      </c>
      <c r="D129" s="13">
        <v>8207</v>
      </c>
      <c r="F129" s="12" t="s">
        <v>6824</v>
      </c>
      <c r="G129" s="1"/>
      <c r="I129" s="1"/>
    </row>
    <row r="130" spans="1:9">
      <c r="A130" s="12" t="s">
        <v>832</v>
      </c>
      <c r="B130" s="12" t="s">
        <v>6976</v>
      </c>
      <c r="C130" s="1" t="s">
        <v>6977</v>
      </c>
      <c r="D130" s="13">
        <v>5530</v>
      </c>
      <c r="F130" s="12" t="s">
        <v>6824</v>
      </c>
      <c r="G130" s="1"/>
      <c r="I130" s="1"/>
    </row>
    <row r="131" spans="1:9">
      <c r="A131" s="12" t="s">
        <v>833</v>
      </c>
      <c r="B131" s="12" t="s">
        <v>6978</v>
      </c>
      <c r="C131" s="1" t="s">
        <v>6979</v>
      </c>
      <c r="D131" s="13">
        <v>4966</v>
      </c>
      <c r="F131" s="12" t="s">
        <v>6824</v>
      </c>
      <c r="G131" s="1"/>
      <c r="I131" s="1"/>
    </row>
    <row r="132" spans="1:9">
      <c r="A132" s="336">
        <v>14</v>
      </c>
      <c r="B132" s="12" t="s">
        <v>6980</v>
      </c>
      <c r="C132" s="1" t="s">
        <v>6981</v>
      </c>
      <c r="D132" s="13">
        <v>7566</v>
      </c>
      <c r="F132" s="12" t="s">
        <v>6827</v>
      </c>
      <c r="G132" s="1"/>
      <c r="I132" s="1"/>
    </row>
    <row r="133" spans="1:9">
      <c r="A133" s="336">
        <v>15</v>
      </c>
      <c r="B133" s="12" t="s">
        <v>6982</v>
      </c>
      <c r="C133" s="1" t="s">
        <v>6983</v>
      </c>
      <c r="D133" s="13">
        <v>8501</v>
      </c>
      <c r="F133" s="12" t="s">
        <v>6824</v>
      </c>
      <c r="G133" s="1"/>
      <c r="I133" s="1"/>
    </row>
    <row r="134" spans="1:9">
      <c r="A134" s="336">
        <v>16</v>
      </c>
      <c r="B134" s="12" t="s">
        <v>6984</v>
      </c>
      <c r="C134" s="1" t="s">
        <v>6985</v>
      </c>
      <c r="D134" s="13">
        <v>6139</v>
      </c>
      <c r="F134" s="12" t="s">
        <v>6827</v>
      </c>
      <c r="G134" s="1"/>
      <c r="I134" s="1"/>
    </row>
    <row r="135" spans="1:9">
      <c r="A135" s="336">
        <v>17</v>
      </c>
      <c r="B135" s="12" t="s">
        <v>6986</v>
      </c>
      <c r="C135" s="1" t="s">
        <v>6987</v>
      </c>
      <c r="D135" s="13">
        <v>5294</v>
      </c>
      <c r="F135" s="12" t="s">
        <v>6827</v>
      </c>
      <c r="G135" s="1"/>
      <c r="I135" s="1"/>
    </row>
    <row r="136" spans="1:9">
      <c r="A136" s="336">
        <v>18</v>
      </c>
      <c r="B136" s="12" t="s">
        <v>6988</v>
      </c>
      <c r="C136" s="1" t="s">
        <v>6989</v>
      </c>
      <c r="D136" s="13">
        <v>5354</v>
      </c>
      <c r="F136" s="12" t="s">
        <v>6824</v>
      </c>
      <c r="G136" s="1"/>
      <c r="I136" s="1"/>
    </row>
    <row r="137" spans="1:9">
      <c r="A137" s="336">
        <v>19</v>
      </c>
      <c r="B137" s="12" t="s">
        <v>6990</v>
      </c>
      <c r="C137" s="1" t="s">
        <v>6991</v>
      </c>
      <c r="D137" s="13">
        <v>7985</v>
      </c>
      <c r="F137" s="12" t="s">
        <v>6827</v>
      </c>
      <c r="G137" s="1"/>
      <c r="I137" s="1"/>
    </row>
    <row r="138" spans="1:9">
      <c r="D138" s="13"/>
    </row>
    <row r="139" spans="1:9">
      <c r="A139" s="12" t="s">
        <v>6951</v>
      </c>
      <c r="D139" s="332">
        <f>D121+D122+SUM(D127:D131)+D133+D136</f>
        <v>59257</v>
      </c>
    </row>
    <row r="140" spans="1:9">
      <c r="A140" s="12" t="s">
        <v>6952</v>
      </c>
      <c r="D140" s="332">
        <f>D119+D120+SUM(D123:D126)+D132+D134+D135+D137</f>
        <v>64614</v>
      </c>
    </row>
    <row r="142" spans="1:9">
      <c r="A142" s="12" t="s">
        <v>6992</v>
      </c>
    </row>
    <row r="144" spans="1:9">
      <c r="A144" s="12"/>
      <c r="D144" s="337"/>
    </row>
  </sheetData>
  <printOptions gridLinesSet="0"/>
  <pageMargins left="0.78740157480314965" right="0" top="0.51181102362204722" bottom="0.51181102362204722" header="0.51181102362204722" footer="0.51181102362204722"/>
  <pageSetup paperSize="9" scale="72" orientation="portrait" horizontalDpi="300" verticalDpi="300" r:id="rId1"/>
  <headerFooter alignWithMargins="0">
    <oddFooter>&amp;C&amp;"Times New Roman,Regular"&amp;8&amp;P of &amp;N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08"/>
  <sheetViews>
    <sheetView showGridLines="0" zoomScaleNormal="100" workbookViewId="0"/>
  </sheetViews>
  <sheetFormatPr defaultColWidth="12.59765625" defaultRowHeight="14.5"/>
  <cols>
    <col min="1" max="1" width="4.8984375" style="823" customWidth="1"/>
    <col min="2" max="2" width="40.69921875" style="823" customWidth="1"/>
    <col min="3" max="3" width="11.59765625" style="823" customWidth="1"/>
    <col min="4" max="4" width="10" style="823" customWidth="1"/>
    <col min="5" max="5" width="2.296875" style="823" customWidth="1"/>
    <col min="6" max="6" width="30.8984375" style="823" customWidth="1"/>
    <col min="7" max="16384" width="12.59765625" style="823"/>
  </cols>
  <sheetData>
    <row r="1" spans="1:6">
      <c r="A1" s="822" t="s">
        <v>1075</v>
      </c>
      <c r="D1" s="824">
        <v>2016</v>
      </c>
    </row>
    <row r="3" spans="1:6">
      <c r="A3" s="822" t="s">
        <v>13730</v>
      </c>
      <c r="D3" s="825">
        <f t="shared" ref="D3" si="0">SUM(D5:D9)</f>
        <v>461334</v>
      </c>
    </row>
    <row r="4" spans="1:6">
      <c r="D4" s="826"/>
    </row>
    <row r="5" spans="1:6">
      <c r="A5" s="822" t="s">
        <v>15821</v>
      </c>
      <c r="C5" s="822"/>
      <c r="D5" s="825">
        <f t="shared" ref="D5" si="1">D36</f>
        <v>103843</v>
      </c>
      <c r="F5" s="827"/>
    </row>
    <row r="6" spans="1:6">
      <c r="A6" s="822" t="s">
        <v>15822</v>
      </c>
      <c r="C6" s="822"/>
      <c r="D6" s="825">
        <f t="shared" ref="D6" si="2">D75</f>
        <v>88712</v>
      </c>
      <c r="F6" s="827"/>
    </row>
    <row r="7" spans="1:6">
      <c r="A7" s="822" t="s">
        <v>15823</v>
      </c>
      <c r="C7" s="822"/>
      <c r="D7" s="825">
        <f t="shared" ref="D7" si="3">D109</f>
        <v>99880</v>
      </c>
      <c r="F7" s="827"/>
    </row>
    <row r="8" spans="1:6">
      <c r="A8" s="822" t="s">
        <v>15824</v>
      </c>
      <c r="C8" s="822"/>
      <c r="D8" s="825">
        <f t="shared" ref="D8" si="4">D142</f>
        <v>90444</v>
      </c>
      <c r="F8" s="827"/>
    </row>
    <row r="9" spans="1:6">
      <c r="A9" s="822" t="s">
        <v>15825</v>
      </c>
      <c r="C9" s="822"/>
      <c r="D9" s="825">
        <f t="shared" ref="D9" si="5">D176</f>
        <v>78455</v>
      </c>
      <c r="F9" s="827"/>
    </row>
    <row r="11" spans="1:6">
      <c r="A11" s="822" t="s">
        <v>15826</v>
      </c>
      <c r="D11" s="825">
        <f t="shared" ref="D11" si="6">D66</f>
        <v>78250</v>
      </c>
      <c r="F11" s="822" t="s">
        <v>15827</v>
      </c>
    </row>
    <row r="12" spans="1:6">
      <c r="D12" s="826"/>
    </row>
    <row r="13" spans="1:6">
      <c r="A13" s="822" t="s">
        <v>15828</v>
      </c>
      <c r="D13" s="826">
        <f t="shared" ref="D13" si="7">D67</f>
        <v>11461</v>
      </c>
      <c r="F13" s="822" t="s">
        <v>15827</v>
      </c>
    </row>
    <row r="14" spans="1:6" ht="15" thickBot="1">
      <c r="A14" s="822"/>
      <c r="D14" s="828">
        <f t="shared" ref="D14" si="8">D133</f>
        <v>66056</v>
      </c>
      <c r="F14" s="822" t="s">
        <v>15829</v>
      </c>
    </row>
    <row r="15" spans="1:6" ht="15" thickBot="1">
      <c r="A15" s="822"/>
      <c r="D15" s="828">
        <f t="shared" ref="D15" si="9">D13+D14</f>
        <v>77517</v>
      </c>
      <c r="F15" s="822"/>
    </row>
    <row r="16" spans="1:6">
      <c r="D16" s="826"/>
    </row>
    <row r="17" spans="1:6">
      <c r="A17" s="822" t="s">
        <v>15830</v>
      </c>
      <c r="D17" s="825">
        <f t="shared" ref="D17" si="10">D101</f>
        <v>76194</v>
      </c>
      <c r="F17" s="822" t="s">
        <v>15831</v>
      </c>
    </row>
    <row r="18" spans="1:6">
      <c r="D18" s="826"/>
    </row>
    <row r="19" spans="1:6">
      <c r="A19" s="822" t="s">
        <v>15832</v>
      </c>
      <c r="D19" s="825">
        <f t="shared" ref="D19" si="11">D68</f>
        <v>14132</v>
      </c>
      <c r="F19" s="822" t="s">
        <v>15827</v>
      </c>
    </row>
    <row r="20" spans="1:6">
      <c r="D20" s="825">
        <f t="shared" ref="D20" si="12">D102</f>
        <v>12518</v>
      </c>
      <c r="F20" s="822" t="s">
        <v>15831</v>
      </c>
    </row>
    <row r="21" spans="1:6">
      <c r="D21" s="825">
        <f>D134</f>
        <v>8655</v>
      </c>
      <c r="F21" s="822" t="s">
        <v>15829</v>
      </c>
    </row>
    <row r="22" spans="1:6" ht="15" thickBot="1">
      <c r="D22" s="828">
        <f t="shared" ref="D22" si="13">D168</f>
        <v>40301</v>
      </c>
      <c r="F22" s="822" t="s">
        <v>15833</v>
      </c>
    </row>
    <row r="23" spans="1:6" ht="15" thickBot="1">
      <c r="D23" s="828">
        <f t="shared" ref="D23" si="14">SUM(D19:D22)</f>
        <v>75606</v>
      </c>
    </row>
    <row r="24" spans="1:6">
      <c r="D24" s="826"/>
    </row>
    <row r="25" spans="1:6">
      <c r="A25" s="822" t="s">
        <v>15834</v>
      </c>
      <c r="D25" s="825">
        <f t="shared" ref="D25" si="15">D135</f>
        <v>25169</v>
      </c>
      <c r="F25" s="822" t="s">
        <v>15829</v>
      </c>
    </row>
    <row r="26" spans="1:6" ht="15" thickBot="1">
      <c r="D26" s="828">
        <f t="shared" ref="D26" si="16">D169</f>
        <v>50143</v>
      </c>
      <c r="F26" s="822" t="s">
        <v>15833</v>
      </c>
    </row>
    <row r="27" spans="1:6" ht="15" thickBot="1">
      <c r="D27" s="828">
        <f t="shared" ref="D27" si="17">D25+D26</f>
        <v>75312</v>
      </c>
    </row>
    <row r="28" spans="1:6">
      <c r="D28" s="826"/>
    </row>
    <row r="29" spans="1:6">
      <c r="A29" s="822" t="s">
        <v>15835</v>
      </c>
      <c r="D29" s="829">
        <f t="shared" ref="D29" si="18">D205</f>
        <v>78455</v>
      </c>
      <c r="F29" s="822" t="s">
        <v>13729</v>
      </c>
    </row>
    <row r="30" spans="1:6">
      <c r="D30" s="826"/>
    </row>
    <row r="31" spans="1:6">
      <c r="A31" s="822" t="s">
        <v>1041</v>
      </c>
      <c r="D31" s="825">
        <f t="shared" ref="D31" si="19">D11+D15+D17+D23+D27+D29</f>
        <v>461334</v>
      </c>
    </row>
    <row r="32" spans="1:6">
      <c r="D32" s="826"/>
    </row>
    <row r="33" spans="1:9">
      <c r="A33" s="822"/>
      <c r="D33" s="830"/>
    </row>
    <row r="34" spans="1:9">
      <c r="D34" s="10" t="s">
        <v>285</v>
      </c>
      <c r="E34" s="38"/>
      <c r="F34" s="5" t="s">
        <v>4116</v>
      </c>
    </row>
    <row r="35" spans="1:9">
      <c r="D35" s="39">
        <v>2016</v>
      </c>
      <c r="E35" s="38"/>
      <c r="F35" s="41" t="s">
        <v>286</v>
      </c>
    </row>
    <row r="36" spans="1:9">
      <c r="A36" s="822" t="s">
        <v>15836</v>
      </c>
      <c r="C36" s="822"/>
      <c r="D36" s="825">
        <f t="shared" ref="D36" si="20">SUM(D37:D64)</f>
        <v>103843</v>
      </c>
    </row>
    <row r="37" spans="1:9">
      <c r="A37" s="822" t="s">
        <v>812</v>
      </c>
      <c r="B37" s="822" t="s">
        <v>15837</v>
      </c>
      <c r="C37" s="292" t="s">
        <v>15838</v>
      </c>
      <c r="D37" s="293">
        <v>2317</v>
      </c>
      <c r="F37" s="822" t="s">
        <v>15826</v>
      </c>
      <c r="G37" s="292"/>
      <c r="I37" s="292"/>
    </row>
    <row r="38" spans="1:9">
      <c r="A38" s="822" t="s">
        <v>813</v>
      </c>
      <c r="B38" s="822" t="s">
        <v>15839</v>
      </c>
      <c r="C38" s="292" t="s">
        <v>15840</v>
      </c>
      <c r="D38" s="293">
        <v>3005</v>
      </c>
      <c r="F38" s="822" t="s">
        <v>15828</v>
      </c>
      <c r="G38" s="292"/>
      <c r="I38" s="292"/>
    </row>
    <row r="39" spans="1:9">
      <c r="A39" s="822" t="s">
        <v>814</v>
      </c>
      <c r="B39" s="822" t="s">
        <v>15841</v>
      </c>
      <c r="C39" s="292" t="s">
        <v>15842</v>
      </c>
      <c r="D39" s="293">
        <v>3974</v>
      </c>
      <c r="F39" s="822" t="s">
        <v>15826</v>
      </c>
      <c r="G39" s="292"/>
      <c r="I39" s="292"/>
    </row>
    <row r="40" spans="1:9">
      <c r="A40" s="822" t="s">
        <v>815</v>
      </c>
      <c r="B40" s="822" t="s">
        <v>15843</v>
      </c>
      <c r="C40" s="292" t="s">
        <v>15844</v>
      </c>
      <c r="D40" s="293">
        <v>6076</v>
      </c>
      <c r="F40" s="822" t="s">
        <v>15826</v>
      </c>
      <c r="G40" s="292"/>
      <c r="I40" s="292"/>
    </row>
    <row r="41" spans="1:9">
      <c r="A41" s="822" t="s">
        <v>816</v>
      </c>
      <c r="B41" s="822" t="s">
        <v>15845</v>
      </c>
      <c r="C41" s="292" t="s">
        <v>15846</v>
      </c>
      <c r="D41" s="293">
        <v>6821</v>
      </c>
      <c r="F41" s="822" t="s">
        <v>15826</v>
      </c>
      <c r="G41" s="292"/>
      <c r="I41" s="292"/>
    </row>
    <row r="42" spans="1:9">
      <c r="A42" s="822" t="s">
        <v>826</v>
      </c>
      <c r="B42" s="822" t="s">
        <v>15847</v>
      </c>
      <c r="C42" s="292" t="s">
        <v>15848</v>
      </c>
      <c r="D42" s="293">
        <v>5911</v>
      </c>
      <c r="F42" s="822" t="s">
        <v>15826</v>
      </c>
      <c r="G42" s="292"/>
      <c r="I42" s="292"/>
    </row>
    <row r="43" spans="1:9">
      <c r="A43" s="822" t="s">
        <v>827</v>
      </c>
      <c r="B43" s="822" t="s">
        <v>15849</v>
      </c>
      <c r="C43" s="292" t="s">
        <v>15850</v>
      </c>
      <c r="D43" s="293">
        <v>3869</v>
      </c>
      <c r="F43" s="822" t="s">
        <v>15826</v>
      </c>
      <c r="G43" s="292"/>
      <c r="I43" s="292"/>
    </row>
    <row r="44" spans="1:9">
      <c r="A44" s="822" t="s">
        <v>828</v>
      </c>
      <c r="B44" s="822" t="s">
        <v>15851</v>
      </c>
      <c r="C44" s="292" t="s">
        <v>15852</v>
      </c>
      <c r="D44" s="293">
        <v>5606</v>
      </c>
      <c r="F44" s="822" t="s">
        <v>15826</v>
      </c>
      <c r="G44" s="292"/>
      <c r="I44" s="292"/>
    </row>
    <row r="45" spans="1:9">
      <c r="A45" s="822" t="s">
        <v>829</v>
      </c>
      <c r="B45" s="822" t="s">
        <v>15853</v>
      </c>
      <c r="C45" s="292" t="s">
        <v>15854</v>
      </c>
      <c r="D45" s="293">
        <v>4307</v>
      </c>
      <c r="F45" s="822" t="s">
        <v>15826</v>
      </c>
      <c r="G45" s="292"/>
      <c r="I45" s="292"/>
    </row>
    <row r="46" spans="1:9">
      <c r="A46" s="822" t="s">
        <v>830</v>
      </c>
      <c r="B46" s="822" t="s">
        <v>15855</v>
      </c>
      <c r="C46" s="292" t="s">
        <v>15856</v>
      </c>
      <c r="D46" s="293">
        <v>4601</v>
      </c>
      <c r="F46" s="822" t="s">
        <v>15826</v>
      </c>
      <c r="G46" s="292"/>
      <c r="I46" s="292"/>
    </row>
    <row r="47" spans="1:9">
      <c r="A47" s="822" t="s">
        <v>831</v>
      </c>
      <c r="B47" s="822" t="s">
        <v>15857</v>
      </c>
      <c r="C47" s="292" t="s">
        <v>15858</v>
      </c>
      <c r="D47" s="293">
        <v>3630</v>
      </c>
      <c r="F47" s="822" t="s">
        <v>15826</v>
      </c>
      <c r="G47" s="292"/>
      <c r="I47" s="292"/>
    </row>
    <row r="48" spans="1:9">
      <c r="A48" s="822" t="s">
        <v>832</v>
      </c>
      <c r="B48" s="822" t="s">
        <v>15859</v>
      </c>
      <c r="C48" s="292" t="s">
        <v>15860</v>
      </c>
      <c r="D48" s="293">
        <v>3784</v>
      </c>
      <c r="F48" s="822" t="s">
        <v>15826</v>
      </c>
      <c r="G48" s="292"/>
      <c r="I48" s="292"/>
    </row>
    <row r="49" spans="1:9">
      <c r="A49" s="822" t="s">
        <v>833</v>
      </c>
      <c r="B49" s="822" t="s">
        <v>15861</v>
      </c>
      <c r="C49" s="292" t="s">
        <v>15862</v>
      </c>
      <c r="D49" s="293">
        <v>5467</v>
      </c>
      <c r="F49" s="822" t="s">
        <v>15826</v>
      </c>
      <c r="G49" s="292"/>
      <c r="I49" s="292"/>
    </row>
    <row r="50" spans="1:9">
      <c r="A50" s="822" t="s">
        <v>834</v>
      </c>
      <c r="B50" s="822" t="s">
        <v>15863</v>
      </c>
      <c r="C50" s="292" t="s">
        <v>15864</v>
      </c>
      <c r="D50" s="293">
        <v>5250</v>
      </c>
      <c r="F50" s="822" t="s">
        <v>15826</v>
      </c>
      <c r="G50" s="292"/>
      <c r="I50" s="292"/>
    </row>
    <row r="51" spans="1:9">
      <c r="A51" s="822" t="s">
        <v>835</v>
      </c>
      <c r="B51" s="822" t="s">
        <v>15865</v>
      </c>
      <c r="C51" s="292" t="s">
        <v>15866</v>
      </c>
      <c r="D51" s="293">
        <v>2087</v>
      </c>
      <c r="F51" s="822" t="s">
        <v>15826</v>
      </c>
      <c r="G51" s="292"/>
      <c r="I51" s="292"/>
    </row>
    <row r="52" spans="1:9">
      <c r="A52" s="822" t="s">
        <v>836</v>
      </c>
      <c r="B52" s="822" t="s">
        <v>15867</v>
      </c>
      <c r="C52" s="292" t="s">
        <v>15868</v>
      </c>
      <c r="D52" s="295">
        <v>2268</v>
      </c>
      <c r="F52" s="822" t="s">
        <v>15826</v>
      </c>
      <c r="G52" s="292"/>
      <c r="I52" s="292"/>
    </row>
    <row r="53" spans="1:9">
      <c r="A53" s="822" t="s">
        <v>837</v>
      </c>
      <c r="B53" s="822" t="s">
        <v>15869</v>
      </c>
      <c r="C53" s="292" t="s">
        <v>15870</v>
      </c>
      <c r="D53" s="295">
        <v>2163</v>
      </c>
      <c r="F53" s="822" t="s">
        <v>15826</v>
      </c>
      <c r="G53" s="292"/>
      <c r="I53" s="292"/>
    </row>
    <row r="54" spans="1:9">
      <c r="A54" s="822" t="s">
        <v>838</v>
      </c>
      <c r="B54" s="822" t="s">
        <v>15871</v>
      </c>
      <c r="C54" s="292" t="s">
        <v>15872</v>
      </c>
      <c r="D54" s="295">
        <v>1887</v>
      </c>
      <c r="F54" s="822" t="s">
        <v>15828</v>
      </c>
      <c r="G54" s="292"/>
      <c r="I54" s="292"/>
    </row>
    <row r="55" spans="1:9">
      <c r="A55" s="822" t="s">
        <v>840</v>
      </c>
      <c r="B55" s="822" t="s">
        <v>15873</v>
      </c>
      <c r="C55" s="292" t="s">
        <v>15874</v>
      </c>
      <c r="D55" s="295">
        <v>2063</v>
      </c>
      <c r="F55" s="822" t="s">
        <v>15826</v>
      </c>
      <c r="G55" s="292"/>
      <c r="I55" s="292"/>
    </row>
    <row r="56" spans="1:9">
      <c r="A56" s="822" t="s">
        <v>841</v>
      </c>
      <c r="B56" s="822" t="s">
        <v>15875</v>
      </c>
      <c r="C56" s="292" t="s">
        <v>15876</v>
      </c>
      <c r="D56" s="295">
        <v>3973</v>
      </c>
      <c r="F56" s="822" t="s">
        <v>15832</v>
      </c>
      <c r="G56" s="292"/>
      <c r="I56" s="292"/>
    </row>
    <row r="57" spans="1:9">
      <c r="A57" s="831">
        <v>21</v>
      </c>
      <c r="B57" s="822" t="s">
        <v>15877</v>
      </c>
      <c r="C57" s="292" t="s">
        <v>15878</v>
      </c>
      <c r="D57" s="295">
        <v>6112</v>
      </c>
      <c r="F57" s="822" t="s">
        <v>15832</v>
      </c>
      <c r="G57" s="292"/>
      <c r="I57" s="292"/>
    </row>
    <row r="58" spans="1:9">
      <c r="A58" s="831">
        <v>22</v>
      </c>
      <c r="B58" s="822" t="s">
        <v>15879</v>
      </c>
      <c r="C58" s="292" t="s">
        <v>15880</v>
      </c>
      <c r="D58" s="295">
        <v>2346</v>
      </c>
      <c r="F58" s="822" t="s">
        <v>15828</v>
      </c>
      <c r="G58" s="292"/>
      <c r="I58" s="292"/>
    </row>
    <row r="59" spans="1:9">
      <c r="A59" s="831">
        <v>23</v>
      </c>
      <c r="B59" s="822" t="s">
        <v>15881</v>
      </c>
      <c r="C59" s="292" t="s">
        <v>15882</v>
      </c>
      <c r="D59" s="295">
        <v>2256</v>
      </c>
      <c r="F59" s="822" t="s">
        <v>15828</v>
      </c>
      <c r="G59" s="292"/>
      <c r="I59" s="292"/>
    </row>
    <row r="60" spans="1:9">
      <c r="A60" s="831">
        <v>24</v>
      </c>
      <c r="B60" s="822" t="s">
        <v>15883</v>
      </c>
      <c r="C60" s="292" t="s">
        <v>15884</v>
      </c>
      <c r="D60" s="295">
        <v>1967</v>
      </c>
      <c r="F60" s="822" t="s">
        <v>15828</v>
      </c>
      <c r="G60" s="292"/>
      <c r="I60" s="292"/>
    </row>
    <row r="61" spans="1:9">
      <c r="A61" s="831">
        <v>25</v>
      </c>
      <c r="B61" s="822" t="s">
        <v>15885</v>
      </c>
      <c r="C61" s="292" t="s">
        <v>15886</v>
      </c>
      <c r="D61" s="295">
        <v>2161</v>
      </c>
      <c r="F61" s="822" t="s">
        <v>15826</v>
      </c>
      <c r="G61" s="292"/>
      <c r="I61" s="292"/>
    </row>
    <row r="62" spans="1:9">
      <c r="A62" s="831">
        <v>26</v>
      </c>
      <c r="B62" s="822" t="s">
        <v>15887</v>
      </c>
      <c r="C62" s="292" t="s">
        <v>15888</v>
      </c>
      <c r="D62" s="295">
        <v>3756</v>
      </c>
      <c r="F62" s="822" t="s">
        <v>15826</v>
      </c>
      <c r="G62" s="292"/>
      <c r="I62" s="292"/>
    </row>
    <row r="63" spans="1:9">
      <c r="A63" s="831">
        <v>27</v>
      </c>
      <c r="B63" s="822" t="s">
        <v>15889</v>
      </c>
      <c r="C63" s="292" t="s">
        <v>15890</v>
      </c>
      <c r="D63" s="295">
        <v>2139</v>
      </c>
      <c r="F63" s="822" t="s">
        <v>15826</v>
      </c>
      <c r="G63" s="292"/>
      <c r="I63" s="292"/>
    </row>
    <row r="64" spans="1:9">
      <c r="A64" s="831">
        <v>28</v>
      </c>
      <c r="B64" s="822" t="s">
        <v>15891</v>
      </c>
      <c r="C64" s="292" t="s">
        <v>15892</v>
      </c>
      <c r="D64" s="295">
        <v>4047</v>
      </c>
      <c r="F64" s="822" t="s">
        <v>15832</v>
      </c>
      <c r="G64" s="292"/>
      <c r="I64" s="292"/>
    </row>
    <row r="65" spans="1:9">
      <c r="D65" s="826"/>
      <c r="F65" s="822"/>
    </row>
    <row r="66" spans="1:9">
      <c r="A66" s="822" t="s">
        <v>15826</v>
      </c>
      <c r="D66" s="825">
        <f>D37+SUM(D39:D53)+D55+SUM(D61:D63)</f>
        <v>78250</v>
      </c>
    </row>
    <row r="67" spans="1:9">
      <c r="A67" s="822" t="s">
        <v>15893</v>
      </c>
      <c r="D67" s="825">
        <f>D38+D54+SUM(D58:D60)</f>
        <v>11461</v>
      </c>
    </row>
    <row r="68" spans="1:9">
      <c r="A68" s="822" t="s">
        <v>15894</v>
      </c>
      <c r="D68" s="825">
        <f t="shared" ref="D68" si="21">D56+D57+D64</f>
        <v>14132</v>
      </c>
    </row>
    <row r="69" spans="1:9">
      <c r="A69" s="822"/>
    </row>
    <row r="70" spans="1:9">
      <c r="A70" s="822" t="s">
        <v>15895</v>
      </c>
      <c r="D70" s="825"/>
    </row>
    <row r="71" spans="1:9">
      <c r="A71" s="822"/>
      <c r="B71" s="822"/>
      <c r="D71" s="832"/>
    </row>
    <row r="72" spans="1:9">
      <c r="A72" s="822"/>
      <c r="B72" s="822"/>
      <c r="D72" s="832"/>
    </row>
    <row r="73" spans="1:9">
      <c r="D73" s="10" t="s">
        <v>285</v>
      </c>
      <c r="E73" s="38"/>
      <c r="F73" s="5" t="s">
        <v>4116</v>
      </c>
    </row>
    <row r="74" spans="1:9">
      <c r="D74" s="39">
        <v>2016</v>
      </c>
      <c r="E74" s="38"/>
      <c r="F74" s="41" t="s">
        <v>286</v>
      </c>
    </row>
    <row r="75" spans="1:9">
      <c r="A75" s="822" t="s">
        <v>15896</v>
      </c>
      <c r="D75" s="825">
        <f t="shared" ref="D75" si="22">SUM(D76:D99)</f>
        <v>88712</v>
      </c>
    </row>
    <row r="76" spans="1:9">
      <c r="A76" s="822" t="s">
        <v>812</v>
      </c>
      <c r="B76" s="822" t="s">
        <v>15897</v>
      </c>
      <c r="C76" s="292" t="s">
        <v>15898</v>
      </c>
      <c r="D76" s="293">
        <v>4614</v>
      </c>
      <c r="F76" s="822" t="s">
        <v>15830</v>
      </c>
      <c r="G76" s="292"/>
      <c r="I76" s="292"/>
    </row>
    <row r="77" spans="1:9">
      <c r="A77" s="822" t="s">
        <v>813</v>
      </c>
      <c r="B77" s="822" t="s">
        <v>15899</v>
      </c>
      <c r="C77" s="292" t="s">
        <v>15900</v>
      </c>
      <c r="D77" s="293">
        <v>3790</v>
      </c>
      <c r="F77" s="822" t="s">
        <v>15830</v>
      </c>
      <c r="G77" s="292"/>
      <c r="I77" s="292"/>
    </row>
    <row r="78" spans="1:9">
      <c r="A78" s="822" t="s">
        <v>814</v>
      </c>
      <c r="B78" s="822" t="s">
        <v>15901</v>
      </c>
      <c r="C78" s="292" t="s">
        <v>15902</v>
      </c>
      <c r="D78" s="293">
        <v>1926</v>
      </c>
      <c r="F78" s="822" t="s">
        <v>15830</v>
      </c>
      <c r="G78" s="292"/>
      <c r="I78" s="292"/>
    </row>
    <row r="79" spans="1:9">
      <c r="A79" s="822" t="s">
        <v>815</v>
      </c>
      <c r="B79" s="822" t="s">
        <v>10539</v>
      </c>
      <c r="C79" s="292" t="s">
        <v>15903</v>
      </c>
      <c r="D79" s="293">
        <v>3715</v>
      </c>
      <c r="F79" s="822" t="s">
        <v>15830</v>
      </c>
      <c r="G79" s="292"/>
      <c r="I79" s="292"/>
    </row>
    <row r="80" spans="1:9">
      <c r="A80" s="822" t="s">
        <v>816</v>
      </c>
      <c r="B80" s="822" t="s">
        <v>15904</v>
      </c>
      <c r="C80" s="292" t="s">
        <v>15905</v>
      </c>
      <c r="D80" s="293">
        <v>3937</v>
      </c>
      <c r="F80" s="822" t="s">
        <v>15830</v>
      </c>
      <c r="G80" s="292"/>
      <c r="I80" s="292"/>
    </row>
    <row r="81" spans="1:9">
      <c r="A81" s="822" t="s">
        <v>826</v>
      </c>
      <c r="B81" s="822" t="s">
        <v>15906</v>
      </c>
      <c r="C81" s="292" t="s">
        <v>15907</v>
      </c>
      <c r="D81" s="293">
        <v>3982</v>
      </c>
      <c r="F81" s="822" t="s">
        <v>15830</v>
      </c>
      <c r="G81" s="292"/>
      <c r="I81" s="292"/>
    </row>
    <row r="82" spans="1:9">
      <c r="A82" s="822" t="s">
        <v>827</v>
      </c>
      <c r="B82" s="822" t="s">
        <v>15908</v>
      </c>
      <c r="C82" s="292" t="s">
        <v>15909</v>
      </c>
      <c r="D82" s="293">
        <v>3843</v>
      </c>
      <c r="F82" s="822" t="s">
        <v>15830</v>
      </c>
      <c r="G82" s="292"/>
      <c r="I82" s="292"/>
    </row>
    <row r="83" spans="1:9">
      <c r="A83" s="822" t="s">
        <v>828</v>
      </c>
      <c r="B83" s="822" t="s">
        <v>15910</v>
      </c>
      <c r="C83" s="292" t="s">
        <v>15911</v>
      </c>
      <c r="D83" s="293">
        <v>3109</v>
      </c>
      <c r="F83" s="822" t="s">
        <v>15830</v>
      </c>
      <c r="G83" s="292"/>
      <c r="I83" s="292"/>
    </row>
    <row r="84" spans="1:9">
      <c r="A84" s="822" t="s">
        <v>829</v>
      </c>
      <c r="B84" s="822" t="s">
        <v>15912</v>
      </c>
      <c r="C84" s="292" t="s">
        <v>15913</v>
      </c>
      <c r="D84" s="293">
        <v>3717</v>
      </c>
      <c r="F84" s="822" t="s">
        <v>15830</v>
      </c>
      <c r="G84" s="292"/>
      <c r="I84" s="292"/>
    </row>
    <row r="85" spans="1:9">
      <c r="A85" s="822" t="s">
        <v>830</v>
      </c>
      <c r="B85" s="822" t="s">
        <v>6455</v>
      </c>
      <c r="C85" s="292" t="s">
        <v>15914</v>
      </c>
      <c r="D85" s="293">
        <v>1573</v>
      </c>
      <c r="F85" s="822" t="s">
        <v>15830</v>
      </c>
      <c r="G85" s="292"/>
      <c r="I85" s="292"/>
    </row>
    <row r="86" spans="1:9">
      <c r="A86" s="822" t="s">
        <v>831</v>
      </c>
      <c r="B86" s="822" t="s">
        <v>15915</v>
      </c>
      <c r="C86" s="292" t="s">
        <v>15916</v>
      </c>
      <c r="D86" s="293">
        <v>3645</v>
      </c>
      <c r="F86" s="822" t="s">
        <v>15830</v>
      </c>
      <c r="G86" s="292"/>
      <c r="I86" s="292"/>
    </row>
    <row r="87" spans="1:9">
      <c r="A87" s="822" t="s">
        <v>832</v>
      </c>
      <c r="B87" s="822" t="s">
        <v>15917</v>
      </c>
      <c r="C87" s="292" t="s">
        <v>15918</v>
      </c>
      <c r="D87" s="295">
        <v>4040</v>
      </c>
      <c r="F87" s="822" t="s">
        <v>15832</v>
      </c>
      <c r="G87" s="292"/>
      <c r="I87" s="292"/>
    </row>
    <row r="88" spans="1:9">
      <c r="A88" s="822" t="s">
        <v>833</v>
      </c>
      <c r="B88" s="822" t="s">
        <v>15919</v>
      </c>
      <c r="C88" s="292" t="s">
        <v>15920</v>
      </c>
      <c r="D88" s="293">
        <v>4305</v>
      </c>
      <c r="F88" s="822" t="s">
        <v>15830</v>
      </c>
      <c r="G88" s="292"/>
      <c r="I88" s="292"/>
    </row>
    <row r="89" spans="1:9">
      <c r="A89" s="822" t="s">
        <v>834</v>
      </c>
      <c r="B89" s="822" t="s">
        <v>15921</v>
      </c>
      <c r="C89" s="292" t="s">
        <v>15922</v>
      </c>
      <c r="D89" s="293">
        <v>4327</v>
      </c>
      <c r="F89" s="822" t="s">
        <v>15830</v>
      </c>
      <c r="G89" s="292"/>
      <c r="I89" s="292"/>
    </row>
    <row r="90" spans="1:9">
      <c r="A90" s="822" t="s">
        <v>835</v>
      </c>
      <c r="B90" s="822" t="s">
        <v>15923</v>
      </c>
      <c r="C90" s="292" t="s">
        <v>15924</v>
      </c>
      <c r="D90" s="293">
        <v>4232</v>
      </c>
      <c r="F90" s="822" t="s">
        <v>15830</v>
      </c>
      <c r="G90" s="292"/>
      <c r="I90" s="292"/>
    </row>
    <row r="91" spans="1:9">
      <c r="A91" s="822" t="s">
        <v>836</v>
      </c>
      <c r="B91" s="822" t="s">
        <v>7038</v>
      </c>
      <c r="C91" s="292" t="s">
        <v>15925</v>
      </c>
      <c r="D91" s="295">
        <v>2936</v>
      </c>
      <c r="F91" s="822" t="s">
        <v>15830</v>
      </c>
      <c r="G91" s="292"/>
      <c r="I91" s="292"/>
    </row>
    <row r="92" spans="1:9">
      <c r="A92" s="822" t="s">
        <v>837</v>
      </c>
      <c r="B92" s="822" t="s">
        <v>15926</v>
      </c>
      <c r="C92" s="292" t="s">
        <v>15927</v>
      </c>
      <c r="D92" s="293">
        <v>4081</v>
      </c>
      <c r="F92" s="822" t="s">
        <v>15830</v>
      </c>
      <c r="G92" s="292"/>
      <c r="I92" s="292"/>
    </row>
    <row r="93" spans="1:9">
      <c r="A93" s="822" t="s">
        <v>838</v>
      </c>
      <c r="B93" s="822" t="s">
        <v>15928</v>
      </c>
      <c r="C93" s="292" t="s">
        <v>15929</v>
      </c>
      <c r="D93" s="295">
        <v>4418</v>
      </c>
      <c r="F93" s="822" t="s">
        <v>15830</v>
      </c>
      <c r="G93" s="292"/>
      <c r="I93" s="292"/>
    </row>
    <row r="94" spans="1:9">
      <c r="A94" s="822" t="s">
        <v>840</v>
      </c>
      <c r="B94" s="822" t="s">
        <v>15930</v>
      </c>
      <c r="C94" s="292" t="s">
        <v>15931</v>
      </c>
      <c r="D94" s="295">
        <v>4235</v>
      </c>
      <c r="F94" s="822" t="s">
        <v>15830</v>
      </c>
      <c r="G94" s="292"/>
      <c r="I94" s="292"/>
    </row>
    <row r="95" spans="1:9">
      <c r="A95" s="822" t="s">
        <v>841</v>
      </c>
      <c r="B95" s="822" t="s">
        <v>5039</v>
      </c>
      <c r="C95" s="292" t="s">
        <v>15932</v>
      </c>
      <c r="D95" s="295">
        <v>3767</v>
      </c>
      <c r="F95" s="822" t="s">
        <v>15830</v>
      </c>
      <c r="G95" s="292"/>
      <c r="I95" s="292"/>
    </row>
    <row r="96" spans="1:9">
      <c r="A96" s="822" t="s">
        <v>878</v>
      </c>
      <c r="B96" s="822" t="s">
        <v>15933</v>
      </c>
      <c r="C96" s="292" t="s">
        <v>15934</v>
      </c>
      <c r="D96" s="295">
        <v>2965</v>
      </c>
      <c r="F96" s="822" t="s">
        <v>15830</v>
      </c>
      <c r="G96" s="292"/>
      <c r="I96" s="292"/>
    </row>
    <row r="97" spans="1:9">
      <c r="A97" s="822" t="s">
        <v>879</v>
      </c>
      <c r="B97" s="822" t="s">
        <v>5043</v>
      </c>
      <c r="C97" s="292" t="s">
        <v>15935</v>
      </c>
      <c r="D97" s="295">
        <v>3077</v>
      </c>
      <c r="F97" s="822" t="s">
        <v>15830</v>
      </c>
      <c r="G97" s="292"/>
      <c r="I97" s="292"/>
    </row>
    <row r="98" spans="1:9">
      <c r="A98" s="822" t="s">
        <v>880</v>
      </c>
      <c r="B98" s="822" t="s">
        <v>15936</v>
      </c>
      <c r="C98" s="292" t="s">
        <v>15937</v>
      </c>
      <c r="D98" s="295">
        <v>4197</v>
      </c>
      <c r="F98" s="822" t="s">
        <v>15832</v>
      </c>
      <c r="G98" s="292"/>
      <c r="I98" s="292"/>
    </row>
    <row r="99" spans="1:9">
      <c r="A99" s="822" t="s">
        <v>721</v>
      </c>
      <c r="B99" s="822" t="s">
        <v>15938</v>
      </c>
      <c r="C99" s="292" t="s">
        <v>15939</v>
      </c>
      <c r="D99" s="295">
        <v>4281</v>
      </c>
      <c r="F99" s="822" t="s">
        <v>15832</v>
      </c>
      <c r="G99" s="292"/>
      <c r="I99" s="292"/>
    </row>
    <row r="100" spans="1:9">
      <c r="A100" s="822"/>
      <c r="D100" s="826"/>
    </row>
    <row r="101" spans="1:9">
      <c r="A101" s="822" t="s">
        <v>15830</v>
      </c>
      <c r="D101" s="825">
        <f>SUM(D76:D86)+SUM(D88:D97)</f>
        <v>76194</v>
      </c>
    </row>
    <row r="102" spans="1:9">
      <c r="A102" s="822" t="s">
        <v>15894</v>
      </c>
      <c r="D102" s="825">
        <f>D87+D98+D99</f>
        <v>12518</v>
      </c>
    </row>
    <row r="103" spans="1:9">
      <c r="A103" s="822"/>
      <c r="D103" s="825"/>
    </row>
    <row r="104" spans="1:9">
      <c r="A104" s="822" t="s">
        <v>15940</v>
      </c>
      <c r="D104" s="825"/>
    </row>
    <row r="105" spans="1:9">
      <c r="A105" s="822"/>
      <c r="B105" s="822"/>
      <c r="D105" s="832"/>
    </row>
    <row r="106" spans="1:9">
      <c r="A106" s="822"/>
      <c r="B106" s="822"/>
      <c r="D106" s="832"/>
    </row>
    <row r="107" spans="1:9">
      <c r="D107" s="10" t="s">
        <v>285</v>
      </c>
      <c r="E107" s="38"/>
      <c r="F107" s="5" t="s">
        <v>4116</v>
      </c>
    </row>
    <row r="108" spans="1:9">
      <c r="D108" s="39">
        <v>2016</v>
      </c>
      <c r="E108" s="38"/>
      <c r="F108" s="41" t="s">
        <v>286</v>
      </c>
    </row>
    <row r="109" spans="1:9">
      <c r="A109" s="822" t="s">
        <v>15941</v>
      </c>
      <c r="D109" s="825">
        <f>SUM(D110:D124)+SUM(D125:D130)</f>
        <v>99880</v>
      </c>
    </row>
    <row r="110" spans="1:9">
      <c r="A110" s="822" t="s">
        <v>812</v>
      </c>
      <c r="B110" s="822" t="s">
        <v>15942</v>
      </c>
      <c r="C110" s="292" t="s">
        <v>15943</v>
      </c>
      <c r="D110" s="293">
        <v>5716</v>
      </c>
      <c r="F110" s="822" t="s">
        <v>15828</v>
      </c>
      <c r="G110" s="292"/>
      <c r="I110" s="292"/>
    </row>
    <row r="111" spans="1:9">
      <c r="A111" s="822" t="s">
        <v>813</v>
      </c>
      <c r="B111" s="822" t="s">
        <v>15944</v>
      </c>
      <c r="C111" s="292" t="s">
        <v>15945</v>
      </c>
      <c r="D111" s="293">
        <v>2846</v>
      </c>
      <c r="F111" s="822" t="s">
        <v>15828</v>
      </c>
      <c r="G111" s="292"/>
      <c r="I111" s="292"/>
    </row>
    <row r="112" spans="1:9">
      <c r="A112" s="822" t="s">
        <v>814</v>
      </c>
      <c r="B112" s="822" t="s">
        <v>15946</v>
      </c>
      <c r="C112" s="292" t="s">
        <v>15947</v>
      </c>
      <c r="D112" s="293">
        <v>2643</v>
      </c>
      <c r="F112" s="822" t="s">
        <v>15828</v>
      </c>
      <c r="G112" s="292"/>
      <c r="I112" s="292"/>
    </row>
    <row r="113" spans="1:9">
      <c r="A113" s="822" t="s">
        <v>815</v>
      </c>
      <c r="B113" s="822" t="s">
        <v>15948</v>
      </c>
      <c r="C113" s="292" t="s">
        <v>15949</v>
      </c>
      <c r="D113" s="295">
        <v>6118</v>
      </c>
      <c r="F113" s="822" t="s">
        <v>15828</v>
      </c>
      <c r="G113" s="292"/>
      <c r="I113" s="292"/>
    </row>
    <row r="114" spans="1:9">
      <c r="A114" s="822" t="s">
        <v>816</v>
      </c>
      <c r="B114" s="822" t="s">
        <v>15950</v>
      </c>
      <c r="C114" s="292" t="s">
        <v>15951</v>
      </c>
      <c r="D114" s="293">
        <v>6597</v>
      </c>
      <c r="F114" s="822" t="s">
        <v>15834</v>
      </c>
      <c r="G114" s="292"/>
      <c r="I114" s="292"/>
    </row>
    <row r="115" spans="1:9">
      <c r="A115" s="822" t="s">
        <v>826</v>
      </c>
      <c r="B115" s="822" t="s">
        <v>15952</v>
      </c>
      <c r="C115" s="292" t="s">
        <v>15953</v>
      </c>
      <c r="D115" s="295">
        <v>6805</v>
      </c>
      <c r="F115" s="822" t="s">
        <v>15834</v>
      </c>
      <c r="G115" s="292"/>
      <c r="I115" s="292"/>
    </row>
    <row r="116" spans="1:9">
      <c r="A116" s="822" t="s">
        <v>827</v>
      </c>
      <c r="B116" s="822" t="s">
        <v>15954</v>
      </c>
      <c r="C116" s="292" t="s">
        <v>15955</v>
      </c>
      <c r="D116" s="295">
        <v>7104</v>
      </c>
      <c r="F116" s="822" t="s">
        <v>15834</v>
      </c>
      <c r="G116" s="292"/>
      <c r="I116" s="292"/>
    </row>
    <row r="117" spans="1:9">
      <c r="A117" s="822" t="s">
        <v>828</v>
      </c>
      <c r="B117" s="822" t="s">
        <v>15956</v>
      </c>
      <c r="C117" s="292" t="s">
        <v>15957</v>
      </c>
      <c r="D117" s="295">
        <v>4663</v>
      </c>
      <c r="F117" s="822" t="s">
        <v>15834</v>
      </c>
      <c r="G117" s="292"/>
      <c r="I117" s="292"/>
    </row>
    <row r="118" spans="1:9">
      <c r="A118" s="822" t="s">
        <v>829</v>
      </c>
      <c r="B118" s="822" t="s">
        <v>15958</v>
      </c>
      <c r="C118" s="292" t="s">
        <v>15959</v>
      </c>
      <c r="D118" s="293">
        <v>2688</v>
      </c>
      <c r="F118" s="822" t="s">
        <v>15828</v>
      </c>
      <c r="G118" s="292"/>
      <c r="I118" s="292"/>
    </row>
    <row r="119" spans="1:9">
      <c r="A119" s="822" t="s">
        <v>830</v>
      </c>
      <c r="B119" s="822" t="s">
        <v>15960</v>
      </c>
      <c r="C119" s="292" t="s">
        <v>15961</v>
      </c>
      <c r="D119" s="293">
        <v>2752</v>
      </c>
      <c r="F119" s="822" t="s">
        <v>15832</v>
      </c>
      <c r="G119" s="292"/>
      <c r="I119" s="292"/>
    </row>
    <row r="120" spans="1:9">
      <c r="A120" s="822" t="s">
        <v>831</v>
      </c>
      <c r="B120" s="822" t="s">
        <v>15962</v>
      </c>
      <c r="C120" s="292" t="s">
        <v>15963</v>
      </c>
      <c r="D120" s="293">
        <v>2991</v>
      </c>
      <c r="F120" s="822" t="s">
        <v>15828</v>
      </c>
      <c r="G120" s="292"/>
      <c r="I120" s="292"/>
    </row>
    <row r="121" spans="1:9">
      <c r="A121" s="822" t="s">
        <v>832</v>
      </c>
      <c r="B121" s="822" t="s">
        <v>15964</v>
      </c>
      <c r="C121" s="292" t="s">
        <v>15965</v>
      </c>
      <c r="D121" s="293">
        <v>3062</v>
      </c>
      <c r="F121" s="822" t="s">
        <v>15828</v>
      </c>
      <c r="G121" s="292"/>
      <c r="I121" s="292"/>
    </row>
    <row r="122" spans="1:9">
      <c r="A122" s="822" t="s">
        <v>833</v>
      </c>
      <c r="B122" s="822" t="s">
        <v>15966</v>
      </c>
      <c r="C122" s="292" t="s">
        <v>15967</v>
      </c>
      <c r="D122" s="293">
        <v>8318</v>
      </c>
      <c r="F122" s="822" t="s">
        <v>15828</v>
      </c>
      <c r="G122" s="292"/>
      <c r="I122" s="292"/>
    </row>
    <row r="123" spans="1:9">
      <c r="A123" s="822" t="s">
        <v>834</v>
      </c>
      <c r="B123" s="822" t="s">
        <v>15968</v>
      </c>
      <c r="C123" s="292" t="s">
        <v>15969</v>
      </c>
      <c r="D123" s="293">
        <v>2789</v>
      </c>
      <c r="F123" s="822" t="s">
        <v>15828</v>
      </c>
      <c r="G123" s="292"/>
      <c r="I123" s="292"/>
    </row>
    <row r="124" spans="1:9">
      <c r="A124" s="822" t="s">
        <v>835</v>
      </c>
      <c r="B124" s="822" t="s">
        <v>15970</v>
      </c>
      <c r="C124" s="292" t="s">
        <v>15971</v>
      </c>
      <c r="D124" s="293">
        <v>2880</v>
      </c>
      <c r="F124" s="822" t="s">
        <v>15832</v>
      </c>
      <c r="G124" s="292"/>
      <c r="I124" s="292"/>
    </row>
    <row r="125" spans="1:9">
      <c r="A125" s="822" t="s">
        <v>836</v>
      </c>
      <c r="B125" s="822" t="s">
        <v>15972</v>
      </c>
      <c r="C125" s="292" t="s">
        <v>15973</v>
      </c>
      <c r="D125" s="293">
        <v>5214</v>
      </c>
      <c r="F125" s="822" t="s">
        <v>15828</v>
      </c>
      <c r="G125" s="292"/>
      <c r="I125" s="292"/>
    </row>
    <row r="126" spans="1:9">
      <c r="A126" s="822" t="s">
        <v>837</v>
      </c>
      <c r="B126" s="822" t="s">
        <v>15974</v>
      </c>
      <c r="C126" s="292" t="s">
        <v>15975</v>
      </c>
      <c r="D126" s="293">
        <v>8847</v>
      </c>
      <c r="F126" s="822" t="s">
        <v>15828</v>
      </c>
      <c r="G126" s="292"/>
      <c r="I126" s="292"/>
    </row>
    <row r="127" spans="1:9">
      <c r="A127" s="822" t="s">
        <v>838</v>
      </c>
      <c r="B127" s="822" t="s">
        <v>15976</v>
      </c>
      <c r="C127" s="292" t="s">
        <v>15977</v>
      </c>
      <c r="D127" s="295">
        <v>5625</v>
      </c>
      <c r="F127" s="822" t="s">
        <v>15828</v>
      </c>
      <c r="G127" s="292"/>
      <c r="I127" s="292"/>
    </row>
    <row r="128" spans="1:9">
      <c r="A128" s="822" t="s">
        <v>840</v>
      </c>
      <c r="B128" s="822" t="s">
        <v>8612</v>
      </c>
      <c r="C128" s="292" t="s">
        <v>15978</v>
      </c>
      <c r="D128" s="293">
        <v>2955</v>
      </c>
      <c r="F128" s="822" t="s">
        <v>15828</v>
      </c>
      <c r="G128" s="292"/>
      <c r="I128" s="292"/>
    </row>
    <row r="129" spans="1:9">
      <c r="A129" s="822" t="s">
        <v>841</v>
      </c>
      <c r="B129" s="822" t="s">
        <v>7849</v>
      </c>
      <c r="C129" s="292" t="s">
        <v>15979</v>
      </c>
      <c r="D129" s="293">
        <v>3023</v>
      </c>
      <c r="F129" s="822" t="s">
        <v>15832</v>
      </c>
      <c r="G129" s="292"/>
      <c r="I129" s="292"/>
    </row>
    <row r="130" spans="1:9">
      <c r="A130" s="822" t="s">
        <v>878</v>
      </c>
      <c r="B130" s="822" t="s">
        <v>15980</v>
      </c>
      <c r="C130" s="292" t="s">
        <v>15981</v>
      </c>
      <c r="D130" s="295">
        <v>6244</v>
      </c>
      <c r="F130" s="822" t="s">
        <v>15828</v>
      </c>
      <c r="G130" s="292"/>
      <c r="I130" s="292"/>
    </row>
    <row r="131" spans="1:9">
      <c r="A131" s="822"/>
      <c r="B131" s="822"/>
      <c r="C131" s="292"/>
      <c r="D131" s="293"/>
      <c r="F131" s="822"/>
      <c r="G131" s="292"/>
      <c r="I131" s="292"/>
    </row>
    <row r="132" spans="1:9">
      <c r="D132" s="826"/>
    </row>
    <row r="133" spans="1:9">
      <c r="A133" s="822" t="s">
        <v>15893</v>
      </c>
      <c r="D133" s="825">
        <f>SUM(D110:D113)+D118+SUM(D120:D123)+SUM(D125:D128)+D130</f>
        <v>66056</v>
      </c>
    </row>
    <row r="134" spans="1:9">
      <c r="A134" s="822" t="s">
        <v>15894</v>
      </c>
      <c r="D134" s="825">
        <f>D119+D124+D129</f>
        <v>8655</v>
      </c>
    </row>
    <row r="135" spans="1:9">
      <c r="A135" s="822" t="s">
        <v>15982</v>
      </c>
      <c r="D135" s="825">
        <f>SUM(D114:D117)</f>
        <v>25169</v>
      </c>
    </row>
    <row r="136" spans="1:9">
      <c r="A136" s="822"/>
      <c r="D136" s="825"/>
    </row>
    <row r="137" spans="1:9">
      <c r="A137" s="822" t="s">
        <v>15983</v>
      </c>
      <c r="D137" s="825"/>
    </row>
    <row r="138" spans="1:9">
      <c r="A138" s="822"/>
      <c r="B138" s="822"/>
      <c r="D138" s="832"/>
    </row>
    <row r="139" spans="1:9">
      <c r="A139" s="822"/>
      <c r="B139" s="822"/>
      <c r="D139" s="832"/>
    </row>
    <row r="140" spans="1:9">
      <c r="D140" s="10" t="s">
        <v>285</v>
      </c>
      <c r="E140" s="38"/>
      <c r="F140" s="5" t="s">
        <v>4116</v>
      </c>
    </row>
    <row r="141" spans="1:9">
      <c r="D141" s="39">
        <v>2016</v>
      </c>
      <c r="E141" s="38"/>
      <c r="F141" s="41" t="s">
        <v>286</v>
      </c>
    </row>
    <row r="142" spans="1:9">
      <c r="A142" s="822" t="s">
        <v>15984</v>
      </c>
      <c r="D142" s="825">
        <f>SUM(D143:D157)+SUM(D158:D162)+SUM(D163:D166)</f>
        <v>90444</v>
      </c>
    </row>
    <row r="143" spans="1:9">
      <c r="A143" s="822" t="s">
        <v>812</v>
      </c>
      <c r="B143" s="822" t="s">
        <v>15985</v>
      </c>
      <c r="C143" s="292" t="s">
        <v>15986</v>
      </c>
      <c r="D143" s="293">
        <v>4333</v>
      </c>
      <c r="F143" s="822" t="s">
        <v>15832</v>
      </c>
      <c r="G143" s="292"/>
      <c r="I143" s="292"/>
    </row>
    <row r="144" spans="1:9">
      <c r="A144" s="822" t="s">
        <v>813</v>
      </c>
      <c r="B144" s="822" t="s">
        <v>15987</v>
      </c>
      <c r="C144" s="292" t="s">
        <v>15988</v>
      </c>
      <c r="D144" s="293">
        <v>5083</v>
      </c>
      <c r="F144" s="822" t="s">
        <v>15832</v>
      </c>
      <c r="G144" s="292"/>
      <c r="I144" s="292"/>
    </row>
    <row r="145" spans="1:9">
      <c r="A145" s="822" t="s">
        <v>814</v>
      </c>
      <c r="B145" s="822" t="s">
        <v>15989</v>
      </c>
      <c r="C145" s="292" t="s">
        <v>15990</v>
      </c>
      <c r="D145" s="293">
        <v>4545</v>
      </c>
      <c r="F145" s="822" t="s">
        <v>15832</v>
      </c>
      <c r="G145" s="292"/>
      <c r="I145" s="292"/>
    </row>
    <row r="146" spans="1:9">
      <c r="A146" s="822" t="s">
        <v>815</v>
      </c>
      <c r="B146" s="822" t="s">
        <v>15991</v>
      </c>
      <c r="C146" s="292" t="s">
        <v>15992</v>
      </c>
      <c r="D146" s="293">
        <v>4616</v>
      </c>
      <c r="F146" s="822" t="s">
        <v>15832</v>
      </c>
      <c r="G146" s="292"/>
      <c r="I146" s="292"/>
    </row>
    <row r="147" spans="1:9">
      <c r="A147" s="822" t="s">
        <v>816</v>
      </c>
      <c r="B147" s="822" t="s">
        <v>15993</v>
      </c>
      <c r="C147" s="292" t="s">
        <v>15994</v>
      </c>
      <c r="D147" s="293">
        <v>5178</v>
      </c>
      <c r="F147" s="822" t="s">
        <v>15832</v>
      </c>
      <c r="G147" s="292"/>
      <c r="I147" s="292"/>
    </row>
    <row r="148" spans="1:9">
      <c r="A148" s="822" t="s">
        <v>826</v>
      </c>
      <c r="B148" s="822" t="s">
        <v>15995</v>
      </c>
      <c r="C148" s="292" t="s">
        <v>15996</v>
      </c>
      <c r="D148" s="293">
        <v>4583</v>
      </c>
      <c r="F148" s="822" t="s">
        <v>15834</v>
      </c>
      <c r="G148" s="292"/>
      <c r="I148" s="292"/>
    </row>
    <row r="149" spans="1:9">
      <c r="A149" s="822" t="s">
        <v>827</v>
      </c>
      <c r="B149" s="822" t="s">
        <v>15997</v>
      </c>
      <c r="C149" s="292" t="s">
        <v>15998</v>
      </c>
      <c r="D149" s="293">
        <v>4240</v>
      </c>
      <c r="F149" s="822" t="s">
        <v>15832</v>
      </c>
      <c r="G149" s="292"/>
      <c r="I149" s="292"/>
    </row>
    <row r="150" spans="1:9">
      <c r="A150" s="822" t="s">
        <v>828</v>
      </c>
      <c r="B150" s="822" t="s">
        <v>15999</v>
      </c>
      <c r="C150" s="292" t="s">
        <v>16000</v>
      </c>
      <c r="D150" s="293">
        <v>4645</v>
      </c>
      <c r="F150" s="822" t="s">
        <v>15832</v>
      </c>
      <c r="G150" s="292"/>
      <c r="I150" s="292"/>
    </row>
    <row r="151" spans="1:9">
      <c r="A151" s="822" t="s">
        <v>829</v>
      </c>
      <c r="B151" s="822" t="s">
        <v>5333</v>
      </c>
      <c r="C151" s="292" t="s">
        <v>16001</v>
      </c>
      <c r="D151" s="293">
        <v>2274</v>
      </c>
      <c r="F151" s="822" t="s">
        <v>15834</v>
      </c>
      <c r="G151" s="292"/>
      <c r="I151" s="292"/>
    </row>
    <row r="152" spans="1:9">
      <c r="A152" s="822" t="s">
        <v>830</v>
      </c>
      <c r="B152" s="822" t="s">
        <v>16002</v>
      </c>
      <c r="C152" s="292" t="s">
        <v>16003</v>
      </c>
      <c r="D152" s="293">
        <v>5362</v>
      </c>
      <c r="F152" s="822" t="s">
        <v>15834</v>
      </c>
      <c r="G152" s="292"/>
      <c r="I152" s="292"/>
    </row>
    <row r="153" spans="1:9">
      <c r="A153" s="822" t="s">
        <v>831</v>
      </c>
      <c r="B153" s="822" t="s">
        <v>16004</v>
      </c>
      <c r="C153" s="292" t="s">
        <v>16005</v>
      </c>
      <c r="D153" s="293">
        <v>3998</v>
      </c>
      <c r="F153" s="822" t="s">
        <v>15834</v>
      </c>
      <c r="G153" s="292"/>
      <c r="I153" s="292"/>
    </row>
    <row r="154" spans="1:9">
      <c r="A154" s="822" t="s">
        <v>832</v>
      </c>
      <c r="B154" s="822" t="s">
        <v>16006</v>
      </c>
      <c r="C154" s="292" t="s">
        <v>16007</v>
      </c>
      <c r="D154" s="293">
        <v>2151</v>
      </c>
      <c r="F154" s="822" t="s">
        <v>15834</v>
      </c>
      <c r="G154" s="292"/>
      <c r="I154" s="292"/>
    </row>
    <row r="155" spans="1:9">
      <c r="A155" s="822" t="s">
        <v>833</v>
      </c>
      <c r="B155" s="822" t="s">
        <v>16008</v>
      </c>
      <c r="C155" s="292" t="s">
        <v>16009</v>
      </c>
      <c r="D155" s="293">
        <v>5081</v>
      </c>
      <c r="F155" s="822" t="s">
        <v>15832</v>
      </c>
      <c r="G155" s="292"/>
      <c r="I155" s="292"/>
    </row>
    <row r="156" spans="1:9">
      <c r="A156" s="822" t="s">
        <v>834</v>
      </c>
      <c r="B156" s="822" t="s">
        <v>16010</v>
      </c>
      <c r="C156" s="292" t="s">
        <v>16011</v>
      </c>
      <c r="D156" s="295">
        <v>2555</v>
      </c>
      <c r="F156" s="822" t="s">
        <v>15834</v>
      </c>
      <c r="G156" s="292"/>
      <c r="I156" s="292"/>
    </row>
    <row r="157" spans="1:9">
      <c r="A157" s="822" t="s">
        <v>835</v>
      </c>
      <c r="B157" s="822" t="s">
        <v>16012</v>
      </c>
      <c r="C157" s="292" t="s">
        <v>16013</v>
      </c>
      <c r="D157" s="295">
        <v>2158</v>
      </c>
      <c r="F157" s="822" t="s">
        <v>15834</v>
      </c>
      <c r="G157" s="292"/>
      <c r="I157" s="292"/>
    </row>
    <row r="158" spans="1:9">
      <c r="A158" s="822" t="s">
        <v>836</v>
      </c>
      <c r="B158" s="822" t="s">
        <v>1005</v>
      </c>
      <c r="C158" s="292" t="s">
        <v>16014</v>
      </c>
      <c r="D158" s="295">
        <v>2355</v>
      </c>
      <c r="F158" s="822" t="s">
        <v>15834</v>
      </c>
      <c r="G158" s="292"/>
      <c r="I158" s="292"/>
    </row>
    <row r="159" spans="1:9">
      <c r="A159" s="822" t="s">
        <v>837</v>
      </c>
      <c r="B159" s="822" t="s">
        <v>16015</v>
      </c>
      <c r="C159" s="292" t="s">
        <v>16016</v>
      </c>
      <c r="D159" s="295">
        <v>2654</v>
      </c>
      <c r="F159" s="822" t="s">
        <v>15834</v>
      </c>
      <c r="G159" s="292"/>
      <c r="I159" s="292"/>
    </row>
    <row r="160" spans="1:9">
      <c r="A160" s="822" t="s">
        <v>838</v>
      </c>
      <c r="B160" s="822" t="s">
        <v>16017</v>
      </c>
      <c r="C160" s="292" t="s">
        <v>16018</v>
      </c>
      <c r="D160" s="295">
        <v>2444</v>
      </c>
      <c r="F160" s="822" t="s">
        <v>15834</v>
      </c>
      <c r="G160" s="292"/>
      <c r="I160" s="292"/>
    </row>
    <row r="161" spans="1:9">
      <c r="A161" s="822" t="s">
        <v>840</v>
      </c>
      <c r="B161" s="822" t="s">
        <v>16019</v>
      </c>
      <c r="C161" s="292" t="s">
        <v>16020</v>
      </c>
      <c r="D161" s="295">
        <v>2086</v>
      </c>
      <c r="F161" s="822" t="s">
        <v>15834</v>
      </c>
      <c r="G161" s="292"/>
      <c r="I161" s="292"/>
    </row>
    <row r="162" spans="1:9">
      <c r="A162" s="822" t="s">
        <v>841</v>
      </c>
      <c r="B162" s="822" t="s">
        <v>9207</v>
      </c>
      <c r="C162" s="292" t="s">
        <v>16021</v>
      </c>
      <c r="D162" s="295">
        <v>2534</v>
      </c>
      <c r="F162" s="822" t="s">
        <v>15834</v>
      </c>
      <c r="G162" s="292"/>
      <c r="I162" s="292"/>
    </row>
    <row r="163" spans="1:9">
      <c r="A163" s="822" t="s">
        <v>878</v>
      </c>
      <c r="B163" s="822" t="s">
        <v>16022</v>
      </c>
      <c r="C163" s="292" t="s">
        <v>16023</v>
      </c>
      <c r="D163" s="295">
        <v>5138</v>
      </c>
      <c r="F163" s="822" t="s">
        <v>15834</v>
      </c>
      <c r="G163" s="292"/>
      <c r="I163" s="292"/>
    </row>
    <row r="164" spans="1:9">
      <c r="A164" s="822" t="s">
        <v>879</v>
      </c>
      <c r="B164" s="822" t="s">
        <v>16024</v>
      </c>
      <c r="C164" s="292" t="s">
        <v>16025</v>
      </c>
      <c r="D164" s="295">
        <v>4764</v>
      </c>
      <c r="F164" s="822" t="s">
        <v>15834</v>
      </c>
      <c r="G164" s="292"/>
      <c r="I164" s="292"/>
    </row>
    <row r="165" spans="1:9">
      <c r="A165" s="822" t="s">
        <v>880</v>
      </c>
      <c r="B165" s="822" t="s">
        <v>16026</v>
      </c>
      <c r="C165" s="292" t="s">
        <v>16027</v>
      </c>
      <c r="D165" s="295">
        <v>5087</v>
      </c>
      <c r="F165" s="822" t="s">
        <v>15834</v>
      </c>
      <c r="G165" s="292"/>
      <c r="I165" s="292"/>
    </row>
    <row r="166" spans="1:9">
      <c r="A166" s="822" t="s">
        <v>721</v>
      </c>
      <c r="B166" s="822" t="s">
        <v>6881</v>
      </c>
      <c r="C166" s="292" t="s">
        <v>16028</v>
      </c>
      <c r="D166" s="293">
        <v>2580</v>
      </c>
      <c r="F166" s="822" t="s">
        <v>15832</v>
      </c>
      <c r="G166" s="292"/>
      <c r="I166" s="292"/>
    </row>
    <row r="167" spans="1:9">
      <c r="D167" s="826"/>
    </row>
    <row r="168" spans="1:9">
      <c r="A168" s="822" t="s">
        <v>15894</v>
      </c>
      <c r="D168" s="825">
        <f>SUM(D143:D147)+D149+D150+D155+D166</f>
        <v>40301</v>
      </c>
    </row>
    <row r="169" spans="1:9">
      <c r="A169" s="822" t="s">
        <v>15982</v>
      </c>
      <c r="D169" s="825">
        <f>D148+SUM(D151:D154)+D156+D157+SUM(D158:D161)+D162+SUM(D163:D165)</f>
        <v>50143</v>
      </c>
    </row>
    <row r="170" spans="1:9">
      <c r="A170" s="822"/>
      <c r="D170" s="825"/>
    </row>
    <row r="171" spans="1:9">
      <c r="A171" s="822" t="s">
        <v>16029</v>
      </c>
      <c r="D171" s="825"/>
    </row>
    <row r="172" spans="1:9">
      <c r="A172" s="822"/>
      <c r="B172" s="822"/>
      <c r="D172" s="832"/>
    </row>
    <row r="173" spans="1:9">
      <c r="A173" s="822"/>
      <c r="B173" s="822"/>
      <c r="D173" s="832"/>
    </row>
    <row r="174" spans="1:9">
      <c r="D174" s="10" t="s">
        <v>285</v>
      </c>
      <c r="E174" s="38"/>
      <c r="F174" s="5" t="s">
        <v>4116</v>
      </c>
    </row>
    <row r="175" spans="1:9">
      <c r="D175" s="39">
        <v>2016</v>
      </c>
      <c r="E175" s="38"/>
      <c r="F175" s="41" t="s">
        <v>286</v>
      </c>
    </row>
    <row r="176" spans="1:9">
      <c r="A176" s="822" t="s">
        <v>16030</v>
      </c>
      <c r="D176" s="825">
        <f t="shared" ref="D176" si="23">SUM(D177:D203)</f>
        <v>78455</v>
      </c>
      <c r="H176" s="306"/>
    </row>
    <row r="177" spans="1:9">
      <c r="A177" s="822" t="s">
        <v>812</v>
      </c>
      <c r="B177" s="822" t="s">
        <v>16031</v>
      </c>
      <c r="C177" s="292" t="s">
        <v>16032</v>
      </c>
      <c r="D177" s="293">
        <v>1367</v>
      </c>
      <c r="F177" s="822" t="s">
        <v>15835</v>
      </c>
      <c r="H177" s="306"/>
      <c r="I177" s="292"/>
    </row>
    <row r="178" spans="1:9">
      <c r="A178" s="822" t="s">
        <v>813</v>
      </c>
      <c r="B178" s="822" t="s">
        <v>16033</v>
      </c>
      <c r="C178" s="292" t="s">
        <v>16034</v>
      </c>
      <c r="D178" s="293">
        <v>1713</v>
      </c>
      <c r="F178" s="822" t="s">
        <v>15835</v>
      </c>
      <c r="H178" s="306"/>
      <c r="I178" s="292"/>
    </row>
    <row r="179" spans="1:9">
      <c r="A179" s="822" t="s">
        <v>814</v>
      </c>
      <c r="B179" s="822" t="s">
        <v>16035</v>
      </c>
      <c r="C179" s="292" t="s">
        <v>16036</v>
      </c>
      <c r="D179" s="293">
        <v>2877</v>
      </c>
      <c r="F179" s="822" t="s">
        <v>15835</v>
      </c>
      <c r="H179" s="306"/>
      <c r="I179" s="292"/>
    </row>
    <row r="180" spans="1:9">
      <c r="A180" s="822" t="s">
        <v>815</v>
      </c>
      <c r="B180" s="822" t="s">
        <v>16037</v>
      </c>
      <c r="C180" s="306" t="s">
        <v>16038</v>
      </c>
      <c r="D180" s="293">
        <v>1549</v>
      </c>
      <c r="F180" s="822" t="s">
        <v>15835</v>
      </c>
      <c r="G180" s="292"/>
      <c r="I180" s="292"/>
    </row>
    <row r="181" spans="1:9">
      <c r="A181" s="822" t="s">
        <v>816</v>
      </c>
      <c r="B181" s="822" t="s">
        <v>16039</v>
      </c>
      <c r="C181" s="306" t="s">
        <v>16040</v>
      </c>
      <c r="D181" s="293">
        <v>1467</v>
      </c>
      <c r="F181" s="822" t="s">
        <v>15835</v>
      </c>
      <c r="G181" s="292"/>
      <c r="I181" s="292"/>
    </row>
    <row r="182" spans="1:9">
      <c r="A182" s="822" t="s">
        <v>826</v>
      </c>
      <c r="B182" s="822" t="s">
        <v>16041</v>
      </c>
      <c r="C182" s="292" t="s">
        <v>16042</v>
      </c>
      <c r="D182" s="293">
        <v>3806</v>
      </c>
      <c r="F182" s="822" t="s">
        <v>15835</v>
      </c>
      <c r="G182" s="292"/>
      <c r="I182" s="292"/>
    </row>
    <row r="183" spans="1:9">
      <c r="A183" s="822" t="s">
        <v>827</v>
      </c>
      <c r="B183" s="822" t="s">
        <v>16043</v>
      </c>
      <c r="C183" s="306" t="s">
        <v>16044</v>
      </c>
      <c r="D183" s="293">
        <v>3260</v>
      </c>
      <c r="F183" s="822" t="s">
        <v>15835</v>
      </c>
      <c r="G183" s="292"/>
      <c r="I183" s="292"/>
    </row>
    <row r="184" spans="1:9">
      <c r="A184" s="822" t="s">
        <v>828</v>
      </c>
      <c r="B184" s="822" t="s">
        <v>16045</v>
      </c>
      <c r="C184" s="292" t="s">
        <v>16046</v>
      </c>
      <c r="D184" s="293">
        <v>3295</v>
      </c>
      <c r="F184" s="822" t="s">
        <v>15835</v>
      </c>
      <c r="G184" s="292"/>
      <c r="I184" s="292"/>
    </row>
    <row r="185" spans="1:9">
      <c r="A185" s="822" t="s">
        <v>829</v>
      </c>
      <c r="B185" s="822" t="s">
        <v>16047</v>
      </c>
      <c r="C185" s="292" t="s">
        <v>16048</v>
      </c>
      <c r="D185" s="293">
        <v>1533</v>
      </c>
      <c r="F185" s="822" t="s">
        <v>15835</v>
      </c>
      <c r="G185" s="292"/>
      <c r="I185" s="292"/>
    </row>
    <row r="186" spans="1:9">
      <c r="A186" s="822" t="s">
        <v>830</v>
      </c>
      <c r="B186" s="822" t="s">
        <v>16049</v>
      </c>
      <c r="C186" s="292" t="s">
        <v>16050</v>
      </c>
      <c r="D186" s="293">
        <v>2955</v>
      </c>
      <c r="F186" s="822" t="s">
        <v>15835</v>
      </c>
      <c r="G186" s="292"/>
      <c r="I186" s="292"/>
    </row>
    <row r="187" spans="1:9">
      <c r="A187" s="822" t="s">
        <v>831</v>
      </c>
      <c r="B187" s="822" t="s">
        <v>16051</v>
      </c>
      <c r="C187" s="292" t="s">
        <v>16052</v>
      </c>
      <c r="D187" s="293">
        <v>4640</v>
      </c>
      <c r="F187" s="822" t="s">
        <v>15835</v>
      </c>
      <c r="G187" s="292"/>
      <c r="I187" s="292"/>
    </row>
    <row r="188" spans="1:9">
      <c r="A188" s="822" t="s">
        <v>832</v>
      </c>
      <c r="B188" s="822" t="s">
        <v>16053</v>
      </c>
      <c r="C188" s="292" t="s">
        <v>16054</v>
      </c>
      <c r="D188" s="293">
        <v>1667</v>
      </c>
      <c r="F188" s="822" t="s">
        <v>15835</v>
      </c>
      <c r="G188" s="292"/>
      <c r="I188" s="292"/>
    </row>
    <row r="189" spans="1:9">
      <c r="A189" s="822" t="s">
        <v>833</v>
      </c>
      <c r="B189" s="822" t="s">
        <v>16055</v>
      </c>
      <c r="C189" s="292" t="s">
        <v>16056</v>
      </c>
      <c r="D189" s="293">
        <v>4706</v>
      </c>
      <c r="F189" s="822" t="s">
        <v>15835</v>
      </c>
      <c r="G189" s="292"/>
      <c r="I189" s="292"/>
    </row>
    <row r="190" spans="1:9">
      <c r="A190" s="822" t="s">
        <v>834</v>
      </c>
      <c r="B190" s="822" t="s">
        <v>16057</v>
      </c>
      <c r="C190" s="292" t="s">
        <v>16058</v>
      </c>
      <c r="D190" s="293">
        <v>3378</v>
      </c>
      <c r="F190" s="822" t="s">
        <v>15835</v>
      </c>
      <c r="G190" s="292"/>
      <c r="I190" s="292"/>
    </row>
    <row r="191" spans="1:9">
      <c r="A191" s="822" t="s">
        <v>835</v>
      </c>
      <c r="B191" s="822" t="s">
        <v>16059</v>
      </c>
      <c r="C191" s="306" t="s">
        <v>16060</v>
      </c>
      <c r="D191" s="293">
        <v>3107</v>
      </c>
      <c r="F191" s="822" t="s">
        <v>15835</v>
      </c>
      <c r="G191" s="292"/>
      <c r="I191" s="292"/>
    </row>
    <row r="192" spans="1:9">
      <c r="A192" s="822" t="s">
        <v>836</v>
      </c>
      <c r="B192" s="822" t="s">
        <v>16061</v>
      </c>
      <c r="C192" s="292" t="s">
        <v>16062</v>
      </c>
      <c r="D192" s="295">
        <v>3115</v>
      </c>
      <c r="F192" s="822" t="s">
        <v>15835</v>
      </c>
      <c r="G192" s="292"/>
      <c r="I192" s="292"/>
    </row>
    <row r="193" spans="1:9">
      <c r="A193" s="822" t="s">
        <v>837</v>
      </c>
      <c r="B193" s="822" t="s">
        <v>16063</v>
      </c>
      <c r="C193" s="292" t="s">
        <v>16064</v>
      </c>
      <c r="D193" s="295">
        <v>1645</v>
      </c>
      <c r="F193" s="822" t="s">
        <v>15835</v>
      </c>
      <c r="G193" s="292"/>
      <c r="I193" s="292"/>
    </row>
    <row r="194" spans="1:9">
      <c r="A194" s="822" t="s">
        <v>838</v>
      </c>
      <c r="B194" s="822" t="s">
        <v>16065</v>
      </c>
      <c r="C194" s="292" t="s">
        <v>16066</v>
      </c>
      <c r="D194" s="295">
        <v>1506</v>
      </c>
      <c r="F194" s="822" t="s">
        <v>15835</v>
      </c>
      <c r="G194" s="292"/>
      <c r="I194" s="292"/>
    </row>
    <row r="195" spans="1:9">
      <c r="A195" s="822" t="s">
        <v>840</v>
      </c>
      <c r="B195" s="822" t="s">
        <v>16067</v>
      </c>
      <c r="C195" s="292" t="s">
        <v>16068</v>
      </c>
      <c r="D195" s="295">
        <v>3280</v>
      </c>
      <c r="F195" s="822" t="s">
        <v>15835</v>
      </c>
      <c r="G195" s="292"/>
      <c r="I195" s="292"/>
    </row>
    <row r="196" spans="1:9">
      <c r="A196" s="822" t="s">
        <v>841</v>
      </c>
      <c r="B196" s="822" t="s">
        <v>16069</v>
      </c>
      <c r="C196" s="292" t="s">
        <v>16070</v>
      </c>
      <c r="D196" s="295">
        <v>3111</v>
      </c>
      <c r="F196" s="822" t="s">
        <v>15835</v>
      </c>
      <c r="G196" s="292"/>
      <c r="I196" s="292"/>
    </row>
    <row r="197" spans="1:9">
      <c r="A197" s="822" t="s">
        <v>878</v>
      </c>
      <c r="B197" s="822" t="s">
        <v>16071</v>
      </c>
      <c r="C197" s="292" t="s">
        <v>16072</v>
      </c>
      <c r="D197" s="295">
        <v>1556</v>
      </c>
      <c r="F197" s="822" t="s">
        <v>15835</v>
      </c>
      <c r="G197" s="292"/>
      <c r="I197" s="292"/>
    </row>
    <row r="198" spans="1:9">
      <c r="A198" s="822" t="s">
        <v>879</v>
      </c>
      <c r="B198" s="822" t="s">
        <v>16073</v>
      </c>
      <c r="C198" s="292" t="s">
        <v>16074</v>
      </c>
      <c r="D198" s="295">
        <v>3654</v>
      </c>
      <c r="F198" s="822" t="s">
        <v>15835</v>
      </c>
      <c r="G198" s="292"/>
      <c r="I198" s="292"/>
    </row>
    <row r="199" spans="1:9">
      <c r="A199" s="822" t="s">
        <v>880</v>
      </c>
      <c r="B199" s="822" t="s">
        <v>16075</v>
      </c>
      <c r="C199" s="292" t="s">
        <v>16076</v>
      </c>
      <c r="D199" s="295">
        <v>5541</v>
      </c>
      <c r="F199" s="822" t="s">
        <v>15835</v>
      </c>
      <c r="G199" s="292"/>
      <c r="I199" s="292"/>
    </row>
    <row r="200" spans="1:9">
      <c r="A200" s="822" t="s">
        <v>721</v>
      </c>
      <c r="B200" s="822" t="s">
        <v>16077</v>
      </c>
      <c r="C200" s="292" t="s">
        <v>16078</v>
      </c>
      <c r="D200" s="295">
        <v>3114</v>
      </c>
      <c r="F200" s="822" t="s">
        <v>15835</v>
      </c>
      <c r="G200" s="292"/>
      <c r="I200" s="292"/>
    </row>
    <row r="201" spans="1:9">
      <c r="A201" s="822" t="s">
        <v>722</v>
      </c>
      <c r="B201" s="822" t="s">
        <v>16079</v>
      </c>
      <c r="C201" s="292" t="s">
        <v>16080</v>
      </c>
      <c r="D201" s="295">
        <v>4522</v>
      </c>
      <c r="F201" s="822" t="s">
        <v>15835</v>
      </c>
      <c r="G201" s="292"/>
      <c r="I201" s="292"/>
    </row>
    <row r="202" spans="1:9">
      <c r="A202" s="822" t="s">
        <v>723</v>
      </c>
      <c r="B202" s="822" t="s">
        <v>16081</v>
      </c>
      <c r="C202" s="292" t="s">
        <v>16082</v>
      </c>
      <c r="D202" s="295">
        <v>2994</v>
      </c>
      <c r="F202" s="822" t="s">
        <v>15835</v>
      </c>
      <c r="G202" s="292"/>
      <c r="I202" s="292"/>
    </row>
    <row r="203" spans="1:9">
      <c r="A203" s="822" t="s">
        <v>733</v>
      </c>
      <c r="B203" s="822" t="s">
        <v>16083</v>
      </c>
      <c r="C203" s="292" t="s">
        <v>16084</v>
      </c>
      <c r="D203" s="295">
        <v>3097</v>
      </c>
      <c r="F203" s="822" t="s">
        <v>15835</v>
      </c>
      <c r="G203" s="292"/>
      <c r="I203" s="292"/>
    </row>
    <row r="204" spans="1:9">
      <c r="D204" s="826"/>
    </row>
    <row r="205" spans="1:9">
      <c r="A205" s="822" t="s">
        <v>15835</v>
      </c>
      <c r="D205" s="825">
        <f t="shared" ref="D205" si="24">SUM(D177:D203)</f>
        <v>78455</v>
      </c>
    </row>
    <row r="207" spans="1:9">
      <c r="A207" s="823" t="s">
        <v>16085</v>
      </c>
    </row>
    <row r="208" spans="1:9">
      <c r="A208" s="823" t="s">
        <v>16086</v>
      </c>
    </row>
  </sheetData>
  <printOptions gridLinesSet="0"/>
  <pageMargins left="0.78740157480314965" right="0" top="0.51181102362204722" bottom="0.51181102362204722" header="0.51181102362204722" footer="0.51181102362204722"/>
  <pageSetup paperSize="9" scale="70" orientation="portrait" horizontalDpi="300" verticalDpi="300" r:id="rId1"/>
  <headerFooter alignWithMargins="0">
    <oddFooter>&amp;C&amp;8&amp;P of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7"/>
  <sheetViews>
    <sheetView showGridLines="0" zoomScaleNormal="100" workbookViewId="0"/>
  </sheetViews>
  <sheetFormatPr defaultColWidth="12.59765625" defaultRowHeight="14.5"/>
  <cols>
    <col min="1" max="1" width="4.8984375" style="603" customWidth="1"/>
    <col min="2" max="2" width="40.69921875" style="603" customWidth="1"/>
    <col min="3" max="3" width="11.59765625" style="603" customWidth="1"/>
    <col min="4" max="4" width="10" style="603" customWidth="1"/>
    <col min="5" max="5" width="2.296875" style="603" customWidth="1"/>
    <col min="6" max="6" width="34.3984375" style="603" customWidth="1"/>
    <col min="7" max="16384" width="12.59765625" style="603"/>
  </cols>
  <sheetData>
    <row r="1" spans="1:6">
      <c r="A1" s="602" t="s">
        <v>9176</v>
      </c>
      <c r="D1" s="604">
        <v>2016</v>
      </c>
    </row>
    <row r="3" spans="1:6">
      <c r="A3" s="602" t="s">
        <v>10253</v>
      </c>
      <c r="D3" s="605">
        <f t="shared" ref="D3" si="0">SUM(D25:D43)+SUM(D44:D45)</f>
        <v>178020</v>
      </c>
    </row>
    <row r="5" spans="1:6">
      <c r="A5" s="401" t="s">
        <v>9178</v>
      </c>
      <c r="D5" s="606">
        <f>BARKING!D5</f>
        <v>59630</v>
      </c>
      <c r="F5" s="603" t="s">
        <v>9179</v>
      </c>
    </row>
    <row r="6" spans="1:6" ht="15" thickBot="1">
      <c r="D6" s="607">
        <f>D35+D38</f>
        <v>16900</v>
      </c>
      <c r="F6" s="602" t="s">
        <v>9180</v>
      </c>
    </row>
    <row r="7" spans="1:6" ht="15" thickBot="1">
      <c r="D7" s="608">
        <f>D5+D6</f>
        <v>76530</v>
      </c>
    </row>
    <row r="9" spans="1:6">
      <c r="A9" s="602" t="s">
        <v>10254</v>
      </c>
      <c r="D9" s="605">
        <f t="shared" ref="D9" si="1">D29+D39</f>
        <v>15580</v>
      </c>
      <c r="F9" s="602" t="s">
        <v>9180</v>
      </c>
    </row>
    <row r="10" spans="1:6" ht="15" thickBot="1">
      <c r="D10" s="609">
        <f>'WALTHAM FOREST'!D6</f>
        <v>55672</v>
      </c>
      <c r="F10" s="602" t="s">
        <v>10255</v>
      </c>
    </row>
    <row r="11" spans="1:6" ht="15" thickBot="1">
      <c r="D11" s="609">
        <f t="shared" ref="D11" si="2">D9+D10</f>
        <v>71252</v>
      </c>
    </row>
    <row r="12" spans="1:6">
      <c r="D12" s="3"/>
      <c r="E12" s="2"/>
      <c r="F12" s="2"/>
    </row>
    <row r="13" spans="1:6">
      <c r="A13" s="507" t="s">
        <v>10211</v>
      </c>
      <c r="D13" s="606">
        <f>NEWHAM!D11</f>
        <v>60605</v>
      </c>
      <c r="F13" s="603" t="s">
        <v>10209</v>
      </c>
    </row>
    <row r="14" spans="1:6" ht="15" thickBot="1">
      <c r="D14" s="609">
        <f>D31+D37</f>
        <v>16892</v>
      </c>
      <c r="F14" s="602" t="s">
        <v>9180</v>
      </c>
    </row>
    <row r="15" spans="1:6" ht="15" thickBot="1">
      <c r="D15" s="609">
        <f t="shared" ref="D15" si="3">D13+D14</f>
        <v>77497</v>
      </c>
      <c r="E15" s="2"/>
      <c r="F15" s="2"/>
    </row>
    <row r="16" spans="1:6">
      <c r="D16" s="3"/>
      <c r="E16" s="2"/>
      <c r="F16" s="2"/>
    </row>
    <row r="17" spans="1:10">
      <c r="A17" s="602" t="s">
        <v>10256</v>
      </c>
      <c r="D17" s="605">
        <f>D25+D27+D28+D33+D34+D36+SUM(D40:D42)</f>
        <v>78100</v>
      </c>
      <c r="F17" s="602" t="s">
        <v>9180</v>
      </c>
    </row>
    <row r="18" spans="1:10">
      <c r="D18" s="606"/>
    </row>
    <row r="19" spans="1:10">
      <c r="A19" s="610" t="s">
        <v>10257</v>
      </c>
      <c r="D19" s="605">
        <f>D26+D30+D32+SUM(D43:D45)</f>
        <v>50548</v>
      </c>
      <c r="F19" s="602" t="s">
        <v>9180</v>
      </c>
    </row>
    <row r="20" spans="1:10" ht="15" thickBot="1">
      <c r="D20" s="609">
        <f>'WALTHAM FOREST'!D10</f>
        <v>23285</v>
      </c>
      <c r="F20" s="602" t="s">
        <v>10255</v>
      </c>
    </row>
    <row r="21" spans="1:10" ht="15" thickBot="1">
      <c r="D21" s="609">
        <f t="shared" ref="D21" si="4">D19+D20</f>
        <v>73833</v>
      </c>
    </row>
    <row r="22" spans="1:10">
      <c r="D22" s="606"/>
    </row>
    <row r="23" spans="1:10">
      <c r="A23" s="602" t="s">
        <v>1041</v>
      </c>
      <c r="D23" s="605">
        <f>D6+D9+D17+D14+D19</f>
        <v>178020</v>
      </c>
    </row>
    <row r="24" spans="1:10">
      <c r="D24" s="606"/>
    </row>
    <row r="25" spans="1:10">
      <c r="A25" s="602" t="s">
        <v>812</v>
      </c>
      <c r="B25" s="602" t="s">
        <v>10258</v>
      </c>
      <c r="C25" s="292" t="s">
        <v>10259</v>
      </c>
      <c r="D25" s="316">
        <v>9277</v>
      </c>
      <c r="F25" s="602" t="s">
        <v>10256</v>
      </c>
      <c r="H25" s="292"/>
      <c r="J25" s="292"/>
    </row>
    <row r="26" spans="1:10">
      <c r="A26" s="602" t="s">
        <v>813</v>
      </c>
      <c r="B26" s="602" t="s">
        <v>10260</v>
      </c>
      <c r="C26" s="292" t="s">
        <v>10261</v>
      </c>
      <c r="D26" s="316">
        <v>8609</v>
      </c>
      <c r="F26" s="610" t="s">
        <v>10257</v>
      </c>
      <c r="H26" s="292"/>
      <c r="J26" s="292"/>
    </row>
    <row r="27" spans="1:10">
      <c r="A27" s="602" t="s">
        <v>814</v>
      </c>
      <c r="B27" s="602" t="s">
        <v>5628</v>
      </c>
      <c r="C27" s="292" t="s">
        <v>10262</v>
      </c>
      <c r="D27" s="316">
        <v>7854</v>
      </c>
      <c r="F27" s="602" t="s">
        <v>10256</v>
      </c>
      <c r="H27" s="292"/>
      <c r="J27" s="292"/>
    </row>
    <row r="28" spans="1:10">
      <c r="A28" s="602" t="s">
        <v>815</v>
      </c>
      <c r="B28" s="602" t="s">
        <v>10263</v>
      </c>
      <c r="C28" s="292" t="s">
        <v>10264</v>
      </c>
      <c r="D28" s="316">
        <v>9131</v>
      </c>
      <c r="F28" s="602" t="s">
        <v>10256</v>
      </c>
      <c r="H28" s="292"/>
      <c r="J28" s="292"/>
    </row>
    <row r="29" spans="1:10">
      <c r="A29" s="602" t="s">
        <v>816</v>
      </c>
      <c r="B29" s="602" t="s">
        <v>10265</v>
      </c>
      <c r="C29" s="292" t="s">
        <v>10266</v>
      </c>
      <c r="D29" s="316">
        <v>7855</v>
      </c>
      <c r="F29" s="602" t="s">
        <v>10254</v>
      </c>
      <c r="H29" s="292"/>
      <c r="J29" s="292"/>
    </row>
    <row r="30" spans="1:10">
      <c r="A30" s="602" t="s">
        <v>826</v>
      </c>
      <c r="B30" s="602" t="s">
        <v>10267</v>
      </c>
      <c r="C30" s="292" t="s">
        <v>10268</v>
      </c>
      <c r="D30" s="316">
        <v>9446</v>
      </c>
      <c r="F30" s="610" t="s">
        <v>10257</v>
      </c>
      <c r="H30" s="292"/>
      <c r="J30" s="292"/>
    </row>
    <row r="31" spans="1:10">
      <c r="A31" s="602" t="s">
        <v>827</v>
      </c>
      <c r="B31" s="602" t="s">
        <v>10269</v>
      </c>
      <c r="C31" s="292" t="s">
        <v>10270</v>
      </c>
      <c r="D31" s="316">
        <v>8051</v>
      </c>
      <c r="F31" s="507" t="s">
        <v>10211</v>
      </c>
      <c r="H31" s="292"/>
      <c r="J31" s="292"/>
    </row>
    <row r="32" spans="1:10">
      <c r="A32" s="602" t="s">
        <v>828</v>
      </c>
      <c r="B32" s="602" t="s">
        <v>10271</v>
      </c>
      <c r="C32" s="292" t="s">
        <v>10272</v>
      </c>
      <c r="D32" s="316">
        <v>8354</v>
      </c>
      <c r="F32" s="610" t="s">
        <v>10257</v>
      </c>
      <c r="H32" s="292"/>
      <c r="J32" s="292"/>
    </row>
    <row r="33" spans="1:10">
      <c r="A33" s="602" t="s">
        <v>829</v>
      </c>
      <c r="B33" s="602" t="s">
        <v>10273</v>
      </c>
      <c r="C33" s="292" t="s">
        <v>10274</v>
      </c>
      <c r="D33" s="316">
        <v>8328</v>
      </c>
      <c r="F33" s="602" t="s">
        <v>10256</v>
      </c>
      <c r="H33" s="292"/>
      <c r="J33" s="292"/>
    </row>
    <row r="34" spans="1:10">
      <c r="A34" s="602" t="s">
        <v>830</v>
      </c>
      <c r="B34" s="602" t="s">
        <v>10275</v>
      </c>
      <c r="C34" s="292" t="s">
        <v>10276</v>
      </c>
      <c r="D34" s="316">
        <v>8623</v>
      </c>
      <c r="F34" s="602" t="s">
        <v>10256</v>
      </c>
      <c r="H34" s="292"/>
      <c r="J34" s="292"/>
    </row>
    <row r="35" spans="1:10">
      <c r="A35" s="602" t="s">
        <v>831</v>
      </c>
      <c r="B35" s="602" t="s">
        <v>10277</v>
      </c>
      <c r="C35" s="292" t="s">
        <v>10278</v>
      </c>
      <c r="D35" s="316">
        <v>8017</v>
      </c>
      <c r="F35" s="401" t="s">
        <v>9178</v>
      </c>
      <c r="H35" s="292"/>
      <c r="J35" s="292"/>
    </row>
    <row r="36" spans="1:10">
      <c r="A36" s="602" t="s">
        <v>832</v>
      </c>
      <c r="B36" s="602" t="s">
        <v>10279</v>
      </c>
      <c r="C36" s="292" t="s">
        <v>10280</v>
      </c>
      <c r="D36" s="316">
        <v>8154</v>
      </c>
      <c r="F36" s="602" t="s">
        <v>10256</v>
      </c>
      <c r="H36" s="292"/>
      <c r="J36" s="292"/>
    </row>
    <row r="37" spans="1:10">
      <c r="A37" s="602" t="s">
        <v>833</v>
      </c>
      <c r="B37" s="602" t="s">
        <v>10281</v>
      </c>
      <c r="C37" s="292" t="s">
        <v>10282</v>
      </c>
      <c r="D37" s="316">
        <v>8841</v>
      </c>
      <c r="F37" s="507" t="s">
        <v>10211</v>
      </c>
      <c r="H37" s="292"/>
      <c r="J37" s="292"/>
    </row>
    <row r="38" spans="1:10">
      <c r="A38" s="602" t="s">
        <v>834</v>
      </c>
      <c r="B38" s="602" t="s">
        <v>10283</v>
      </c>
      <c r="C38" s="292" t="s">
        <v>10284</v>
      </c>
      <c r="D38" s="316">
        <v>8883</v>
      </c>
      <c r="F38" s="401" t="s">
        <v>9178</v>
      </c>
      <c r="H38" s="292"/>
      <c r="J38" s="292"/>
    </row>
    <row r="39" spans="1:10">
      <c r="A39" s="602" t="s">
        <v>835</v>
      </c>
      <c r="B39" s="602" t="s">
        <v>10285</v>
      </c>
      <c r="C39" s="292" t="s">
        <v>10286</v>
      </c>
      <c r="D39" s="316">
        <v>7725</v>
      </c>
      <c r="F39" s="602" t="s">
        <v>10254</v>
      </c>
      <c r="H39" s="292"/>
      <c r="J39" s="292"/>
    </row>
    <row r="40" spans="1:10">
      <c r="A40" s="602" t="s">
        <v>836</v>
      </c>
      <c r="B40" s="602" t="s">
        <v>10287</v>
      </c>
      <c r="C40" s="292" t="s">
        <v>10288</v>
      </c>
      <c r="D40" s="316">
        <v>10171</v>
      </c>
      <c r="F40" s="602" t="s">
        <v>10256</v>
      </c>
      <c r="H40" s="292"/>
      <c r="J40" s="292"/>
    </row>
    <row r="41" spans="1:10">
      <c r="A41" s="602" t="s">
        <v>837</v>
      </c>
      <c r="B41" s="602" t="s">
        <v>10289</v>
      </c>
      <c r="C41" s="292" t="s">
        <v>10290</v>
      </c>
      <c r="D41" s="316">
        <v>7689</v>
      </c>
      <c r="F41" s="602" t="s">
        <v>10256</v>
      </c>
      <c r="H41" s="292"/>
      <c r="J41" s="292"/>
    </row>
    <row r="42" spans="1:10">
      <c r="A42" s="602" t="s">
        <v>838</v>
      </c>
      <c r="B42" s="602" t="s">
        <v>10291</v>
      </c>
      <c r="C42" s="292" t="s">
        <v>10292</v>
      </c>
      <c r="D42" s="316">
        <v>8873</v>
      </c>
      <c r="F42" s="602" t="s">
        <v>10256</v>
      </c>
      <c r="H42" s="292"/>
      <c r="J42" s="292"/>
    </row>
    <row r="43" spans="1:10">
      <c r="A43" s="602" t="s">
        <v>840</v>
      </c>
      <c r="B43" s="602" t="s">
        <v>10293</v>
      </c>
      <c r="C43" s="292" t="s">
        <v>10294</v>
      </c>
      <c r="D43" s="316">
        <v>8105</v>
      </c>
      <c r="F43" s="610" t="s">
        <v>10257</v>
      </c>
      <c r="H43" s="292"/>
      <c r="J43" s="292"/>
    </row>
    <row r="44" spans="1:10">
      <c r="A44" s="602" t="s">
        <v>841</v>
      </c>
      <c r="B44" s="602" t="s">
        <v>10295</v>
      </c>
      <c r="C44" s="292" t="s">
        <v>10296</v>
      </c>
      <c r="D44" s="316">
        <v>7891</v>
      </c>
      <c r="F44" s="610" t="s">
        <v>10257</v>
      </c>
      <c r="H44" s="292"/>
      <c r="J44" s="292"/>
    </row>
    <row r="45" spans="1:10">
      <c r="A45" s="602" t="s">
        <v>878</v>
      </c>
      <c r="B45" s="602" t="s">
        <v>10297</v>
      </c>
      <c r="C45" s="292" t="s">
        <v>10298</v>
      </c>
      <c r="D45" s="316">
        <v>8143</v>
      </c>
      <c r="F45" s="610" t="s">
        <v>10257</v>
      </c>
      <c r="H45" s="292"/>
      <c r="J45" s="292"/>
    </row>
    <row r="47" spans="1:10">
      <c r="A47" s="603" t="s">
        <v>10299</v>
      </c>
    </row>
  </sheetData>
  <printOptions gridLinesSet="0"/>
  <pageMargins left="0.78740157480314965" right="0" top="0.51181102362204722" bottom="0.51181102362204722" header="0.51181102362204722" footer="0.51181102362204722"/>
  <pageSetup paperSize="9" scale="73" orientation="portrait" horizontalDpi="300" verticalDpi="300" r:id="rId1"/>
  <headerFooter alignWithMargins="0">
    <oddFooter>&amp;C&amp;"Times New Roman,Regular"&amp;8&amp;P of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5"/>
  <sheetViews>
    <sheetView showGridLines="0" zoomScaleNormal="100" workbookViewId="0"/>
  </sheetViews>
  <sheetFormatPr defaultColWidth="12.59765625" defaultRowHeight="14.5"/>
  <cols>
    <col min="1" max="1" width="4.8984375" style="557" customWidth="1"/>
    <col min="2" max="2" width="46.09765625" style="557" customWidth="1"/>
    <col min="3" max="3" width="11.59765625" style="557" customWidth="1"/>
    <col min="4" max="4" width="10" style="557" customWidth="1"/>
    <col min="5" max="5" width="2.296875" style="557" customWidth="1"/>
    <col min="6" max="6" width="29.296875" style="557" customWidth="1"/>
    <col min="7" max="16384" width="12.59765625" style="557"/>
  </cols>
  <sheetData>
    <row r="1" spans="1:10">
      <c r="A1" s="556" t="s">
        <v>9176</v>
      </c>
      <c r="D1" s="558">
        <v>2016</v>
      </c>
    </row>
    <row r="3" spans="1:10">
      <c r="A3" s="556" t="s">
        <v>10300</v>
      </c>
      <c r="D3" s="559">
        <f t="shared" ref="D3" si="0">SUM(D15:D32)</f>
        <v>126524</v>
      </c>
    </row>
    <row r="5" spans="1:10">
      <c r="A5" s="556" t="s">
        <v>10043</v>
      </c>
      <c r="D5" s="559">
        <f>KINGSTON!D7</f>
        <v>26463</v>
      </c>
      <c r="F5" s="556" t="s">
        <v>10042</v>
      </c>
    </row>
    <row r="6" spans="1:10" ht="15" thickBot="1">
      <c r="D6" s="561">
        <f t="shared" ref="D6" si="1">D15+D16+D18+SUM(D23:D25)+D27</f>
        <v>48277</v>
      </c>
      <c r="E6" s="611"/>
      <c r="F6" s="556" t="s">
        <v>10044</v>
      </c>
    </row>
    <row r="7" spans="1:10" ht="15" thickBot="1">
      <c r="D7" s="561">
        <f t="shared" ref="D7" si="2">D5+D6</f>
        <v>74740</v>
      </c>
    </row>
    <row r="8" spans="1:10">
      <c r="D8" s="560"/>
    </row>
    <row r="9" spans="1:10">
      <c r="A9" s="556" t="s">
        <v>10045</v>
      </c>
      <c r="D9" s="559">
        <f t="shared" ref="D9" si="3">D17+SUM(D19:D22)+D26+SUM(D28:D32)</f>
        <v>78247</v>
      </c>
      <c r="F9" s="556" t="s">
        <v>10044</v>
      </c>
    </row>
    <row r="10" spans="1:10">
      <c r="D10" s="560"/>
    </row>
    <row r="11" spans="1:10">
      <c r="A11" s="556" t="s">
        <v>10041</v>
      </c>
      <c r="D11" s="559">
        <f>KINGSTON!D5</f>
        <v>77995</v>
      </c>
      <c r="F11" s="556" t="s">
        <v>10042</v>
      </c>
    </row>
    <row r="12" spans="1:10">
      <c r="D12" s="560"/>
    </row>
    <row r="13" spans="1:10">
      <c r="A13" s="556" t="s">
        <v>1041</v>
      </c>
      <c r="D13" s="559">
        <f t="shared" ref="D13" si="4">D6+D9</f>
        <v>126524</v>
      </c>
    </row>
    <row r="14" spans="1:10">
      <c r="D14" s="560"/>
    </row>
    <row r="15" spans="1:10">
      <c r="A15" s="556" t="s">
        <v>812</v>
      </c>
      <c r="B15" s="556" t="s">
        <v>6717</v>
      </c>
      <c r="C15" s="292" t="s">
        <v>10301</v>
      </c>
      <c r="D15" s="316">
        <v>6460</v>
      </c>
      <c r="F15" s="556" t="s">
        <v>10043</v>
      </c>
      <c r="H15" s="292"/>
      <c r="J15" s="292"/>
    </row>
    <row r="16" spans="1:10">
      <c r="A16" s="556" t="s">
        <v>813</v>
      </c>
      <c r="B16" s="556" t="s">
        <v>10302</v>
      </c>
      <c r="C16" s="292" t="s">
        <v>10303</v>
      </c>
      <c r="D16" s="316">
        <v>6812</v>
      </c>
      <c r="F16" s="556" t="s">
        <v>10043</v>
      </c>
      <c r="H16" s="292"/>
      <c r="J16" s="292"/>
    </row>
    <row r="17" spans="1:10">
      <c r="A17" s="556" t="s">
        <v>814</v>
      </c>
      <c r="B17" s="556" t="s">
        <v>10304</v>
      </c>
      <c r="C17" s="292" t="s">
        <v>10305</v>
      </c>
      <c r="D17" s="316">
        <v>7304</v>
      </c>
      <c r="F17" s="556" t="s">
        <v>10045</v>
      </c>
      <c r="H17" s="292"/>
      <c r="J17" s="292"/>
    </row>
    <row r="18" spans="1:10">
      <c r="A18" s="556" t="s">
        <v>815</v>
      </c>
      <c r="B18" s="556" t="s">
        <v>10306</v>
      </c>
      <c r="C18" s="292" t="s">
        <v>10307</v>
      </c>
      <c r="D18" s="316">
        <v>6409</v>
      </c>
      <c r="F18" s="556" t="s">
        <v>10043</v>
      </c>
      <c r="H18" s="292"/>
      <c r="J18" s="292"/>
    </row>
    <row r="19" spans="1:10">
      <c r="A19" s="556" t="s">
        <v>816</v>
      </c>
      <c r="B19" s="556" t="s">
        <v>2434</v>
      </c>
      <c r="C19" s="292" t="s">
        <v>10308</v>
      </c>
      <c r="D19" s="316">
        <v>7332</v>
      </c>
      <c r="F19" s="556" t="s">
        <v>10045</v>
      </c>
      <c r="H19" s="292"/>
      <c r="J19" s="292"/>
    </row>
    <row r="20" spans="1:10">
      <c r="A20" s="556" t="s">
        <v>826</v>
      </c>
      <c r="B20" s="556" t="s">
        <v>10309</v>
      </c>
      <c r="C20" s="292" t="s">
        <v>10310</v>
      </c>
      <c r="D20" s="316">
        <v>6727</v>
      </c>
      <c r="F20" s="556" t="s">
        <v>10045</v>
      </c>
      <c r="H20" s="292"/>
      <c r="J20" s="292"/>
    </row>
    <row r="21" spans="1:10">
      <c r="A21" s="556" t="s">
        <v>827</v>
      </c>
      <c r="B21" s="556" t="s">
        <v>10311</v>
      </c>
      <c r="C21" s="292" t="s">
        <v>10312</v>
      </c>
      <c r="D21" s="316">
        <v>7401</v>
      </c>
      <c r="F21" s="556" t="s">
        <v>10045</v>
      </c>
      <c r="H21" s="292"/>
      <c r="J21" s="292"/>
    </row>
    <row r="22" spans="1:10">
      <c r="A22" s="556" t="s">
        <v>828</v>
      </c>
      <c r="B22" s="556" t="s">
        <v>9521</v>
      </c>
      <c r="C22" s="292" t="s">
        <v>10313</v>
      </c>
      <c r="D22" s="316">
        <v>7062</v>
      </c>
      <c r="F22" s="556" t="s">
        <v>10045</v>
      </c>
      <c r="H22" s="292"/>
      <c r="J22" s="292"/>
    </row>
    <row r="23" spans="1:10">
      <c r="A23" s="556" t="s">
        <v>829</v>
      </c>
      <c r="B23" s="556" t="s">
        <v>10314</v>
      </c>
      <c r="C23" s="292" t="s">
        <v>10315</v>
      </c>
      <c r="D23" s="316">
        <v>7373</v>
      </c>
      <c r="F23" s="556" t="s">
        <v>10043</v>
      </c>
      <c r="H23" s="292"/>
      <c r="J23" s="292"/>
    </row>
    <row r="24" spans="1:10">
      <c r="A24" s="556" t="s">
        <v>830</v>
      </c>
      <c r="B24" s="556" t="s">
        <v>10316</v>
      </c>
      <c r="C24" s="292" t="s">
        <v>10317</v>
      </c>
      <c r="D24" s="316">
        <v>7255</v>
      </c>
      <c r="F24" s="556" t="s">
        <v>10043</v>
      </c>
      <c r="H24" s="292"/>
      <c r="J24" s="292"/>
    </row>
    <row r="25" spans="1:10">
      <c r="A25" s="556" t="s">
        <v>831</v>
      </c>
      <c r="B25" s="556" t="s">
        <v>10318</v>
      </c>
      <c r="C25" s="292" t="s">
        <v>10319</v>
      </c>
      <c r="D25" s="316">
        <v>7120</v>
      </c>
      <c r="F25" s="556" t="s">
        <v>10043</v>
      </c>
      <c r="H25" s="292"/>
      <c r="J25" s="292"/>
    </row>
    <row r="26" spans="1:10">
      <c r="A26" s="556" t="s">
        <v>832</v>
      </c>
      <c r="B26" s="556" t="s">
        <v>10320</v>
      </c>
      <c r="C26" s="292" t="s">
        <v>10321</v>
      </c>
      <c r="D26" s="316">
        <v>7509</v>
      </c>
      <c r="F26" s="556" t="s">
        <v>10045</v>
      </c>
      <c r="H26" s="292"/>
      <c r="J26" s="292"/>
    </row>
    <row r="27" spans="1:10">
      <c r="A27" s="556" t="s">
        <v>833</v>
      </c>
      <c r="B27" s="556" t="s">
        <v>10322</v>
      </c>
      <c r="C27" s="292" t="s">
        <v>10323</v>
      </c>
      <c r="D27" s="316">
        <v>6848</v>
      </c>
      <c r="F27" s="556" t="s">
        <v>10043</v>
      </c>
      <c r="H27" s="292"/>
      <c r="J27" s="292"/>
    </row>
    <row r="28" spans="1:10">
      <c r="A28" s="556" t="s">
        <v>834</v>
      </c>
      <c r="B28" s="556" t="s">
        <v>10324</v>
      </c>
      <c r="C28" s="292" t="s">
        <v>10325</v>
      </c>
      <c r="D28" s="316">
        <v>6780</v>
      </c>
      <c r="F28" s="556" t="s">
        <v>10045</v>
      </c>
      <c r="H28" s="292"/>
      <c r="J28" s="292"/>
    </row>
    <row r="29" spans="1:10">
      <c r="A29" s="556" t="s">
        <v>835</v>
      </c>
      <c r="B29" s="556" t="s">
        <v>10326</v>
      </c>
      <c r="C29" s="292" t="s">
        <v>10327</v>
      </c>
      <c r="D29" s="316">
        <v>7346</v>
      </c>
      <c r="F29" s="556" t="s">
        <v>10045</v>
      </c>
      <c r="H29" s="292"/>
      <c r="J29" s="292"/>
    </row>
    <row r="30" spans="1:10">
      <c r="A30" s="556" t="s">
        <v>836</v>
      </c>
      <c r="B30" s="556" t="s">
        <v>10328</v>
      </c>
      <c r="C30" s="292" t="s">
        <v>10329</v>
      </c>
      <c r="D30" s="316">
        <v>6720</v>
      </c>
      <c r="F30" s="556" t="s">
        <v>10045</v>
      </c>
      <c r="H30" s="292"/>
      <c r="J30" s="292"/>
    </row>
    <row r="31" spans="1:10">
      <c r="A31" s="556" t="s">
        <v>837</v>
      </c>
      <c r="B31" s="556" t="s">
        <v>10330</v>
      </c>
      <c r="C31" s="292" t="s">
        <v>10331</v>
      </c>
      <c r="D31" s="316">
        <v>7267</v>
      </c>
      <c r="F31" s="556" t="s">
        <v>10045</v>
      </c>
      <c r="H31" s="292"/>
      <c r="J31" s="292"/>
    </row>
    <row r="32" spans="1:10">
      <c r="A32" s="556" t="s">
        <v>838</v>
      </c>
      <c r="B32" s="556" t="s">
        <v>8920</v>
      </c>
      <c r="C32" s="292" t="s">
        <v>10332</v>
      </c>
      <c r="D32" s="316">
        <v>6799</v>
      </c>
      <c r="F32" s="556" t="s">
        <v>10045</v>
      </c>
      <c r="H32" s="292"/>
      <c r="J32" s="292"/>
    </row>
    <row r="33" spans="1:4">
      <c r="D33" s="316"/>
    </row>
    <row r="34" spans="1:4">
      <c r="A34" s="556" t="s">
        <v>10333</v>
      </c>
      <c r="D34" s="316"/>
    </row>
    <row r="35" spans="1:4">
      <c r="A35" s="557" t="s">
        <v>10334</v>
      </c>
    </row>
  </sheetData>
  <printOptions gridLinesSet="0"/>
  <pageMargins left="0.78740157480314965" right="0" top="0.51181102362204722" bottom="0.51181102362204722" header="0.51181102362204722" footer="0.51181102362204722"/>
  <pageSetup paperSize="9" scale="68" orientation="portrait" horizontalDpi="300" verticalDpi="300" r:id="rId1"/>
  <headerFooter alignWithMargins="0">
    <oddFooter>&amp;C&amp;"Times New Roman,Regular"&amp;8&amp;P of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44"/>
  <sheetViews>
    <sheetView showGridLines="0" zoomScaleNormal="100" workbookViewId="0"/>
  </sheetViews>
  <sheetFormatPr defaultColWidth="12.59765625" defaultRowHeight="14.5"/>
  <cols>
    <col min="1" max="1" width="4.8984375" style="161" customWidth="1"/>
    <col min="2" max="2" width="43.59765625" style="161" customWidth="1"/>
    <col min="3" max="3" width="11.59765625" style="161" customWidth="1"/>
    <col min="4" max="4" width="10.09765625" style="161" customWidth="1"/>
    <col min="5" max="5" width="2.296875" style="161" customWidth="1"/>
    <col min="6" max="6" width="42.09765625" style="161" customWidth="1"/>
    <col min="7" max="16384" width="12.59765625" style="161"/>
  </cols>
  <sheetData>
    <row r="1" spans="1:6">
      <c r="A1" s="160" t="s">
        <v>1075</v>
      </c>
      <c r="D1" s="162">
        <v>2016</v>
      </c>
    </row>
    <row r="3" spans="1:6">
      <c r="A3" s="160" t="s">
        <v>2500</v>
      </c>
      <c r="C3" s="160"/>
      <c r="D3" s="163">
        <f t="shared" ref="D3" si="0">D33</f>
        <v>229810</v>
      </c>
    </row>
    <row r="4" spans="1:6" ht="15" thickBot="1">
      <c r="A4" s="160" t="s">
        <v>2501</v>
      </c>
      <c r="C4" s="160"/>
      <c r="D4" s="164">
        <f t="shared" ref="D4" si="1">D109</f>
        <v>119097</v>
      </c>
    </row>
    <row r="5" spans="1:6" ht="15" thickBot="1">
      <c r="A5" s="160"/>
      <c r="D5" s="164">
        <f t="shared" ref="D5" si="2">D3+D4</f>
        <v>348907</v>
      </c>
    </row>
    <row r="6" spans="1:6">
      <c r="A6" s="160"/>
      <c r="D6" s="163"/>
    </row>
    <row r="7" spans="1:6">
      <c r="A7" s="160" t="s">
        <v>2393</v>
      </c>
      <c r="D7" s="165">
        <f>HEREFORDSHIRE!D7</f>
        <v>38036</v>
      </c>
      <c r="F7" s="147" t="s">
        <v>2392</v>
      </c>
    </row>
    <row r="8" spans="1:6" ht="15" thickBot="1">
      <c r="A8" s="160"/>
      <c r="D8" s="164">
        <f>D99</f>
        <v>39497</v>
      </c>
      <c r="F8" s="160" t="s">
        <v>2394</v>
      </c>
    </row>
    <row r="9" spans="1:6" ht="15" thickBot="1">
      <c r="A9" s="160"/>
      <c r="D9" s="166">
        <f>D7+D8</f>
        <v>77533</v>
      </c>
      <c r="F9" s="160"/>
    </row>
    <row r="10" spans="1:6">
      <c r="D10" s="165"/>
    </row>
    <row r="11" spans="1:6">
      <c r="A11" s="160" t="s">
        <v>2502</v>
      </c>
      <c r="D11" s="163">
        <f t="shared" ref="D11" si="3">D100</f>
        <v>77768</v>
      </c>
      <c r="F11" s="160" t="s">
        <v>2394</v>
      </c>
    </row>
    <row r="12" spans="1:6">
      <c r="D12" s="165"/>
    </row>
    <row r="13" spans="1:6">
      <c r="A13" s="160" t="s">
        <v>2503</v>
      </c>
      <c r="D13" s="163">
        <f t="shared" ref="D13" si="4">D101</f>
        <v>77830</v>
      </c>
      <c r="F13" s="160" t="s">
        <v>2394</v>
      </c>
    </row>
    <row r="14" spans="1:6">
      <c r="D14" s="165"/>
    </row>
    <row r="15" spans="1:6">
      <c r="A15" s="160" t="s">
        <v>2504</v>
      </c>
      <c r="D15" s="163">
        <f t="shared" ref="D15" si="5">D142</f>
        <v>76556</v>
      </c>
      <c r="F15" s="160" t="s">
        <v>2505</v>
      </c>
    </row>
    <row r="16" spans="1:6">
      <c r="D16" s="165"/>
    </row>
    <row r="17" spans="1:6">
      <c r="A17" s="160" t="s">
        <v>2506</v>
      </c>
      <c r="D17" s="163">
        <f>D98</f>
        <v>34715</v>
      </c>
      <c r="F17" s="160" t="s">
        <v>2394</v>
      </c>
    </row>
    <row r="18" spans="1:6" ht="15" thickBot="1">
      <c r="D18" s="164">
        <f>D141</f>
        <v>42541</v>
      </c>
      <c r="F18" s="160" t="s">
        <v>2505</v>
      </c>
    </row>
    <row r="19" spans="1:6" ht="15" thickBot="1">
      <c r="D19" s="164">
        <f t="shared" ref="D19" si="6">SUM(D17:D18)</f>
        <v>77256</v>
      </c>
    </row>
    <row r="20" spans="1:6">
      <c r="D20" s="165"/>
    </row>
    <row r="21" spans="1:6">
      <c r="A21" s="160" t="s">
        <v>1041</v>
      </c>
      <c r="D21" s="163">
        <f>D8+D11+D13+D15+D19</f>
        <v>348907</v>
      </c>
    </row>
    <row r="22" spans="1:6">
      <c r="D22" s="165"/>
    </row>
    <row r="23" spans="1:6">
      <c r="A23" s="160" t="s">
        <v>1042</v>
      </c>
      <c r="D23" s="163">
        <f>MAX(D9,D11,D13,D15,D19)-MIN(D9,D11,D13,D15,D19)</f>
        <v>1274</v>
      </c>
    </row>
    <row r="24" spans="1:6">
      <c r="D24" s="165"/>
    </row>
    <row r="25" spans="1:6">
      <c r="A25" s="160" t="s">
        <v>1045</v>
      </c>
      <c r="D25" s="163">
        <f>STDEVP(D9,D11,D13,D15,D19)</f>
        <v>462.69540736860574</v>
      </c>
    </row>
    <row r="26" spans="1:6">
      <c r="A26" s="160"/>
      <c r="D26" s="163"/>
    </row>
    <row r="27" spans="1:6">
      <c r="A27" s="161" t="s">
        <v>2507</v>
      </c>
      <c r="D27" s="2"/>
      <c r="F27" s="2"/>
    </row>
    <row r="28" spans="1:6">
      <c r="A28" s="161" t="s">
        <v>2508</v>
      </c>
      <c r="D28" s="2"/>
    </row>
    <row r="29" spans="1:6">
      <c r="D29" s="2"/>
    </row>
    <row r="30" spans="1:6">
      <c r="D30" s="2"/>
    </row>
    <row r="31" spans="1:6">
      <c r="D31" s="39" t="s">
        <v>285</v>
      </c>
      <c r="E31" s="38"/>
      <c r="F31" s="38" t="s">
        <v>1842</v>
      </c>
    </row>
    <row r="32" spans="1:6">
      <c r="D32" s="39">
        <v>2016</v>
      </c>
      <c r="F32" s="41" t="s">
        <v>286</v>
      </c>
    </row>
    <row r="33" spans="1:9">
      <c r="A33" s="160" t="s">
        <v>2500</v>
      </c>
      <c r="C33" s="160"/>
      <c r="D33" s="163">
        <f t="shared" ref="D33" si="7">SUM(D34:D96)</f>
        <v>229810</v>
      </c>
    </row>
    <row r="34" spans="1:9">
      <c r="A34" s="160" t="s">
        <v>812</v>
      </c>
      <c r="B34" s="160" t="s">
        <v>998</v>
      </c>
      <c r="C34" s="1" t="s">
        <v>2509</v>
      </c>
      <c r="D34" s="8">
        <v>2971</v>
      </c>
      <c r="F34" s="160" t="s">
        <v>2503</v>
      </c>
      <c r="G34" s="1"/>
      <c r="I34" s="1"/>
    </row>
    <row r="35" spans="1:9">
      <c r="A35" s="160" t="s">
        <v>813</v>
      </c>
      <c r="B35" s="160" t="s">
        <v>2510</v>
      </c>
      <c r="C35" s="1" t="s">
        <v>2511</v>
      </c>
      <c r="D35" s="8">
        <v>3549</v>
      </c>
      <c r="F35" s="160" t="s">
        <v>2506</v>
      </c>
      <c r="G35" s="1"/>
      <c r="I35" s="1"/>
    </row>
    <row r="36" spans="1:9">
      <c r="A36" s="160" t="s">
        <v>814</v>
      </c>
      <c r="B36" s="160" t="s">
        <v>2512</v>
      </c>
      <c r="C36" s="1" t="s">
        <v>2513</v>
      </c>
      <c r="D36" s="7">
        <v>3338</v>
      </c>
      <c r="F36" s="160" t="s">
        <v>2506</v>
      </c>
      <c r="G36" s="1"/>
      <c r="I36" s="1"/>
    </row>
    <row r="37" spans="1:9">
      <c r="A37" s="160" t="s">
        <v>815</v>
      </c>
      <c r="B37" s="160" t="s">
        <v>2514</v>
      </c>
      <c r="C37" s="1" t="s">
        <v>2515</v>
      </c>
      <c r="D37" s="8">
        <v>3339</v>
      </c>
      <c r="F37" s="160" t="s">
        <v>2503</v>
      </c>
      <c r="G37" s="1"/>
    </row>
    <row r="38" spans="1:9">
      <c r="A38" s="160" t="s">
        <v>816</v>
      </c>
      <c r="B38" s="160" t="s">
        <v>2516</v>
      </c>
      <c r="C38" s="1" t="s">
        <v>2517</v>
      </c>
      <c r="D38" s="8">
        <v>2782</v>
      </c>
      <c r="F38" s="160" t="s">
        <v>2503</v>
      </c>
      <c r="G38" s="1"/>
    </row>
    <row r="39" spans="1:9">
      <c r="A39" s="160" t="s">
        <v>826</v>
      </c>
      <c r="B39" s="160" t="s">
        <v>2518</v>
      </c>
      <c r="C39" s="1" t="s">
        <v>2519</v>
      </c>
      <c r="D39" s="8">
        <v>9640</v>
      </c>
      <c r="F39" s="160" t="s">
        <v>2503</v>
      </c>
      <c r="G39" s="1"/>
    </row>
    <row r="40" spans="1:9">
      <c r="A40" s="160" t="s">
        <v>827</v>
      </c>
      <c r="B40" s="160" t="s">
        <v>2520</v>
      </c>
      <c r="C40" s="1" t="s">
        <v>2521</v>
      </c>
      <c r="D40" s="8">
        <v>3270</v>
      </c>
      <c r="F40" s="160" t="s">
        <v>2503</v>
      </c>
      <c r="G40" s="1"/>
    </row>
    <row r="41" spans="1:9">
      <c r="A41" s="160" t="s">
        <v>828</v>
      </c>
      <c r="B41" s="160" t="s">
        <v>2522</v>
      </c>
      <c r="C41" s="1" t="s">
        <v>2523</v>
      </c>
      <c r="D41" s="7">
        <v>2747</v>
      </c>
      <c r="F41" s="160" t="s">
        <v>2393</v>
      </c>
      <c r="G41" s="1"/>
    </row>
    <row r="42" spans="1:9">
      <c r="A42" s="160" t="s">
        <v>829</v>
      </c>
      <c r="B42" s="160" t="s">
        <v>2524</v>
      </c>
      <c r="C42" s="1" t="s">
        <v>2525</v>
      </c>
      <c r="D42" s="8">
        <v>2882</v>
      </c>
      <c r="F42" s="160" t="s">
        <v>2503</v>
      </c>
      <c r="G42" s="1"/>
    </row>
    <row r="43" spans="1:9">
      <c r="A43" s="160" t="s">
        <v>830</v>
      </c>
      <c r="B43" s="160" t="s">
        <v>2526</v>
      </c>
      <c r="C43" s="1" t="s">
        <v>2527</v>
      </c>
      <c r="D43" s="7">
        <v>5322</v>
      </c>
      <c r="F43" s="160" t="s">
        <v>2506</v>
      </c>
      <c r="G43" s="1"/>
    </row>
    <row r="44" spans="1:9">
      <c r="A44" s="160" t="s">
        <v>831</v>
      </c>
      <c r="B44" s="160" t="s">
        <v>2528</v>
      </c>
      <c r="C44" s="1" t="s">
        <v>2529</v>
      </c>
      <c r="D44" s="7">
        <v>5433</v>
      </c>
      <c r="F44" s="160" t="s">
        <v>2506</v>
      </c>
      <c r="G44" s="1"/>
      <c r="I44" s="1"/>
    </row>
    <row r="45" spans="1:9">
      <c r="A45" s="160" t="s">
        <v>832</v>
      </c>
      <c r="B45" s="160" t="s">
        <v>2530</v>
      </c>
      <c r="C45" s="1" t="s">
        <v>2531</v>
      </c>
      <c r="D45" s="7">
        <v>3545</v>
      </c>
      <c r="F45" s="160" t="s">
        <v>2506</v>
      </c>
      <c r="G45" s="1"/>
      <c r="I45" s="1"/>
    </row>
    <row r="46" spans="1:9">
      <c r="A46" s="160" t="s">
        <v>833</v>
      </c>
      <c r="B46" s="160" t="s">
        <v>2532</v>
      </c>
      <c r="C46" s="1" t="s">
        <v>2533</v>
      </c>
      <c r="D46" s="7">
        <v>3015</v>
      </c>
      <c r="F46" s="160" t="s">
        <v>2393</v>
      </c>
      <c r="G46" s="1"/>
      <c r="I46" s="1"/>
    </row>
    <row r="47" spans="1:9">
      <c r="A47" s="160" t="s">
        <v>834</v>
      </c>
      <c r="B47" s="160" t="s">
        <v>2534</v>
      </c>
      <c r="C47" s="1" t="s">
        <v>2535</v>
      </c>
      <c r="D47" s="8">
        <v>3430</v>
      </c>
      <c r="F47" s="160" t="s">
        <v>2503</v>
      </c>
      <c r="G47" s="1"/>
      <c r="I47" s="1"/>
    </row>
    <row r="48" spans="1:9">
      <c r="A48" s="160" t="s">
        <v>835</v>
      </c>
      <c r="B48" s="160" t="s">
        <v>2536</v>
      </c>
      <c r="C48" s="1" t="s">
        <v>2537</v>
      </c>
      <c r="D48" s="8">
        <v>3149</v>
      </c>
      <c r="F48" s="160" t="s">
        <v>2503</v>
      </c>
      <c r="G48" s="1"/>
      <c r="I48" s="1"/>
    </row>
    <row r="49" spans="1:9">
      <c r="A49" s="160" t="s">
        <v>836</v>
      </c>
      <c r="B49" s="160" t="s">
        <v>2538</v>
      </c>
      <c r="C49" s="1" t="s">
        <v>2539</v>
      </c>
      <c r="D49" s="8">
        <v>3135</v>
      </c>
      <c r="F49" s="160" t="s">
        <v>2502</v>
      </c>
      <c r="G49" s="1"/>
      <c r="I49" s="1"/>
    </row>
    <row r="50" spans="1:9">
      <c r="A50" s="160" t="s">
        <v>837</v>
      </c>
      <c r="B50" s="160" t="s">
        <v>2540</v>
      </c>
      <c r="C50" s="1" t="s">
        <v>2541</v>
      </c>
      <c r="D50" s="7">
        <v>2302</v>
      </c>
      <c r="F50" s="160" t="s">
        <v>2503</v>
      </c>
      <c r="G50" s="1"/>
      <c r="I50" s="1"/>
    </row>
    <row r="51" spans="1:9">
      <c r="A51" s="160" t="s">
        <v>838</v>
      </c>
      <c r="B51" s="160" t="s">
        <v>2542</v>
      </c>
      <c r="C51" s="1" t="s">
        <v>2543</v>
      </c>
      <c r="D51" s="7">
        <v>7141</v>
      </c>
      <c r="F51" s="160" t="s">
        <v>2393</v>
      </c>
      <c r="G51" s="1"/>
      <c r="I51" s="1"/>
    </row>
    <row r="52" spans="1:9">
      <c r="A52" s="160" t="s">
        <v>840</v>
      </c>
      <c r="B52" s="160" t="s">
        <v>2544</v>
      </c>
      <c r="C52" s="1" t="s">
        <v>2545</v>
      </c>
      <c r="D52" s="7">
        <v>3477</v>
      </c>
      <c r="F52" s="160" t="s">
        <v>2393</v>
      </c>
      <c r="G52" s="1"/>
      <c r="I52" s="1"/>
    </row>
    <row r="53" spans="1:9">
      <c r="A53" s="160" t="s">
        <v>841</v>
      </c>
      <c r="B53" s="160" t="s">
        <v>2546</v>
      </c>
      <c r="C53" s="1" t="s">
        <v>2547</v>
      </c>
      <c r="D53" s="7">
        <v>5614</v>
      </c>
      <c r="F53" s="160" t="s">
        <v>2393</v>
      </c>
      <c r="G53" s="1"/>
      <c r="I53" s="1"/>
    </row>
    <row r="54" spans="1:9">
      <c r="A54" s="167">
        <v>21</v>
      </c>
      <c r="B54" s="160" t="s">
        <v>2548</v>
      </c>
      <c r="C54" s="1" t="s">
        <v>2549</v>
      </c>
      <c r="D54" s="7">
        <v>3014</v>
      </c>
      <c r="F54" s="160" t="s">
        <v>2393</v>
      </c>
      <c r="G54" s="1"/>
      <c r="I54" s="1"/>
    </row>
    <row r="55" spans="1:9">
      <c r="A55" s="158">
        <v>22</v>
      </c>
      <c r="B55" s="160" t="s">
        <v>2550</v>
      </c>
      <c r="C55" s="1" t="s">
        <v>2551</v>
      </c>
      <c r="D55" s="8">
        <v>3030</v>
      </c>
      <c r="F55" s="160" t="s">
        <v>2503</v>
      </c>
      <c r="G55" s="1"/>
      <c r="I55" s="1"/>
    </row>
    <row r="56" spans="1:9">
      <c r="A56" s="158">
        <v>23</v>
      </c>
      <c r="B56" s="160" t="s">
        <v>2552</v>
      </c>
      <c r="C56" s="1" t="s">
        <v>2553</v>
      </c>
      <c r="D56" s="7">
        <v>2991</v>
      </c>
      <c r="F56" s="160" t="s">
        <v>2393</v>
      </c>
      <c r="G56" s="1"/>
      <c r="I56" s="1"/>
    </row>
    <row r="57" spans="1:9">
      <c r="A57" s="158">
        <v>24</v>
      </c>
      <c r="B57" s="160" t="s">
        <v>2554</v>
      </c>
      <c r="C57" s="1" t="s">
        <v>2555</v>
      </c>
      <c r="D57" s="8">
        <v>3060</v>
      </c>
      <c r="F57" s="160" t="s">
        <v>2502</v>
      </c>
      <c r="G57" s="1"/>
      <c r="I57" s="1"/>
    </row>
    <row r="58" spans="1:9">
      <c r="A58" s="158">
        <v>25</v>
      </c>
      <c r="B58" s="160" t="s">
        <v>2556</v>
      </c>
      <c r="C58" s="1" t="s">
        <v>2557</v>
      </c>
      <c r="D58" s="8">
        <v>3265</v>
      </c>
      <c r="F58" s="160" t="s">
        <v>2503</v>
      </c>
      <c r="G58" s="1"/>
      <c r="I58" s="1"/>
    </row>
    <row r="59" spans="1:9">
      <c r="A59" s="158">
        <v>26</v>
      </c>
      <c r="B59" s="160" t="s">
        <v>2558</v>
      </c>
      <c r="C59" s="1" t="s">
        <v>2559</v>
      </c>
      <c r="D59" s="7">
        <v>2574</v>
      </c>
      <c r="F59" s="160" t="s">
        <v>2393</v>
      </c>
      <c r="G59" s="1"/>
      <c r="I59" s="1"/>
    </row>
    <row r="60" spans="1:9">
      <c r="A60" s="158">
        <v>27</v>
      </c>
      <c r="B60" s="160" t="s">
        <v>2560</v>
      </c>
      <c r="C60" s="1" t="s">
        <v>2561</v>
      </c>
      <c r="D60" s="8">
        <v>2780</v>
      </c>
      <c r="F60" s="160" t="s">
        <v>2502</v>
      </c>
      <c r="G60" s="1"/>
      <c r="I60" s="21"/>
    </row>
    <row r="61" spans="1:9">
      <c r="A61" s="158">
        <v>28</v>
      </c>
      <c r="B61" s="160" t="s">
        <v>2562</v>
      </c>
      <c r="C61" s="1" t="s">
        <v>2563</v>
      </c>
      <c r="D61" s="8">
        <v>3291</v>
      </c>
      <c r="F61" s="160" t="s">
        <v>2502</v>
      </c>
      <c r="G61" s="1"/>
      <c r="I61" s="21"/>
    </row>
    <row r="62" spans="1:9">
      <c r="A62" s="158">
        <v>29</v>
      </c>
      <c r="B62" s="160" t="s">
        <v>2564</v>
      </c>
      <c r="C62" s="1" t="s">
        <v>2565</v>
      </c>
      <c r="D62" s="8">
        <v>3108</v>
      </c>
      <c r="F62" s="160" t="s">
        <v>2503</v>
      </c>
      <c r="G62" s="1"/>
      <c r="I62" s="21"/>
    </row>
    <row r="63" spans="1:9">
      <c r="A63" s="158">
        <v>30</v>
      </c>
      <c r="B63" s="160" t="s">
        <v>2566</v>
      </c>
      <c r="C63" s="1" t="s">
        <v>2567</v>
      </c>
      <c r="D63" s="8">
        <v>3081</v>
      </c>
      <c r="F63" s="160" t="s">
        <v>2503</v>
      </c>
      <c r="G63" s="1"/>
      <c r="I63" s="21"/>
    </row>
    <row r="64" spans="1:9">
      <c r="A64" s="158">
        <v>31</v>
      </c>
      <c r="B64" s="160" t="s">
        <v>2568</v>
      </c>
      <c r="C64" s="1" t="s">
        <v>2569</v>
      </c>
      <c r="D64" s="7">
        <v>2935</v>
      </c>
      <c r="F64" s="160" t="s">
        <v>2393</v>
      </c>
      <c r="G64" s="1"/>
      <c r="I64" s="21"/>
    </row>
    <row r="65" spans="1:9">
      <c r="A65" s="158">
        <v>32</v>
      </c>
      <c r="B65" s="160" t="s">
        <v>2570</v>
      </c>
      <c r="C65" s="1" t="s">
        <v>2571</v>
      </c>
      <c r="D65" s="7">
        <v>2942</v>
      </c>
      <c r="F65" s="160" t="s">
        <v>2393</v>
      </c>
      <c r="G65" s="1"/>
      <c r="I65" s="21"/>
    </row>
    <row r="66" spans="1:9">
      <c r="A66" s="159">
        <v>33</v>
      </c>
      <c r="B66" s="160" t="s">
        <v>2572</v>
      </c>
      <c r="C66" s="1" t="s">
        <v>2573</v>
      </c>
      <c r="D66" s="8">
        <v>3047</v>
      </c>
      <c r="F66" s="160" t="s">
        <v>2393</v>
      </c>
      <c r="G66" s="1"/>
      <c r="I66" s="21"/>
    </row>
    <row r="67" spans="1:9">
      <c r="A67" s="158">
        <v>34</v>
      </c>
      <c r="B67" s="160" t="s">
        <v>2574</v>
      </c>
      <c r="C67" s="1" t="s">
        <v>2575</v>
      </c>
      <c r="D67" s="8">
        <v>3589</v>
      </c>
      <c r="F67" s="160" t="s">
        <v>2502</v>
      </c>
      <c r="G67" s="1"/>
      <c r="I67" s="1"/>
    </row>
    <row r="68" spans="1:9">
      <c r="A68" s="158">
        <v>35</v>
      </c>
      <c r="B68" s="160" t="s">
        <v>2576</v>
      </c>
      <c r="C68" s="1" t="s">
        <v>2577</v>
      </c>
      <c r="D68" s="8">
        <v>6500</v>
      </c>
      <c r="F68" s="160" t="s">
        <v>2502</v>
      </c>
      <c r="G68" s="1"/>
      <c r="I68" s="1"/>
    </row>
    <row r="69" spans="1:9">
      <c r="A69" s="158">
        <v>36</v>
      </c>
      <c r="B69" s="160" t="s">
        <v>2578</v>
      </c>
      <c r="C69" s="1" t="s">
        <v>2579</v>
      </c>
      <c r="D69" s="8">
        <v>3002</v>
      </c>
      <c r="F69" s="160" t="s">
        <v>2503</v>
      </c>
      <c r="G69" s="1"/>
      <c r="I69" s="1"/>
    </row>
    <row r="70" spans="1:9">
      <c r="A70" s="158">
        <v>37</v>
      </c>
      <c r="B70" s="160" t="s">
        <v>2580</v>
      </c>
      <c r="C70" s="1" t="s">
        <v>2581</v>
      </c>
      <c r="D70" s="8">
        <v>3143</v>
      </c>
      <c r="F70" s="160" t="s">
        <v>2503</v>
      </c>
      <c r="G70" s="1"/>
      <c r="I70" s="1"/>
    </row>
    <row r="71" spans="1:9">
      <c r="A71" s="158">
        <v>38</v>
      </c>
      <c r="B71" s="160" t="s">
        <v>2582</v>
      </c>
      <c r="C71" s="1" t="s">
        <v>2583</v>
      </c>
      <c r="D71" s="8">
        <v>3108</v>
      </c>
      <c r="F71" s="160" t="s">
        <v>2503</v>
      </c>
      <c r="G71" s="1"/>
      <c r="I71" s="1"/>
    </row>
    <row r="72" spans="1:9">
      <c r="A72" s="158">
        <v>39</v>
      </c>
      <c r="B72" s="160" t="s">
        <v>2584</v>
      </c>
      <c r="C72" s="1" t="s">
        <v>2585</v>
      </c>
      <c r="D72" s="8">
        <v>3406</v>
      </c>
      <c r="F72" s="160" t="s">
        <v>2506</v>
      </c>
      <c r="G72" s="1"/>
      <c r="I72" s="1"/>
    </row>
    <row r="73" spans="1:9">
      <c r="A73" s="158">
        <v>40</v>
      </c>
      <c r="B73" s="160" t="s">
        <v>2586</v>
      </c>
      <c r="C73" s="21" t="s">
        <v>2587</v>
      </c>
      <c r="D73" s="8">
        <v>6665</v>
      </c>
      <c r="F73" s="160" t="s">
        <v>2502</v>
      </c>
      <c r="G73" s="1"/>
      <c r="I73" s="1"/>
    </row>
    <row r="74" spans="1:9">
      <c r="A74" s="158">
        <v>41</v>
      </c>
      <c r="B74" s="160" t="s">
        <v>2588</v>
      </c>
      <c r="C74" s="21" t="s">
        <v>2589</v>
      </c>
      <c r="D74" s="8">
        <v>3082</v>
      </c>
      <c r="F74" s="160" t="s">
        <v>2502</v>
      </c>
      <c r="G74" s="1"/>
      <c r="I74" s="1"/>
    </row>
    <row r="75" spans="1:9">
      <c r="A75" s="158">
        <v>42</v>
      </c>
      <c r="B75" s="160" t="s">
        <v>2590</v>
      </c>
      <c r="C75" s="21" t="s">
        <v>2591</v>
      </c>
      <c r="D75" s="8">
        <v>2599</v>
      </c>
      <c r="F75" s="160" t="s">
        <v>2502</v>
      </c>
      <c r="G75" s="1"/>
      <c r="I75" s="1"/>
    </row>
    <row r="76" spans="1:9">
      <c r="A76" s="158">
        <v>43</v>
      </c>
      <c r="B76" s="160" t="s">
        <v>2592</v>
      </c>
      <c r="C76" s="1" t="s">
        <v>2593</v>
      </c>
      <c r="D76" s="8">
        <v>3399</v>
      </c>
      <c r="F76" s="160" t="s">
        <v>2503</v>
      </c>
      <c r="G76" s="1"/>
      <c r="I76" s="1"/>
    </row>
    <row r="77" spans="1:9">
      <c r="A77" s="158">
        <v>44</v>
      </c>
      <c r="B77" s="160" t="s">
        <v>2594</v>
      </c>
      <c r="C77" s="1" t="s">
        <v>2595</v>
      </c>
      <c r="D77" s="8">
        <v>3347</v>
      </c>
      <c r="F77" s="160" t="s">
        <v>2502</v>
      </c>
      <c r="G77" s="1"/>
      <c r="I77" s="1"/>
    </row>
    <row r="78" spans="1:9">
      <c r="A78" s="158">
        <v>45</v>
      </c>
      <c r="B78" s="160" t="s">
        <v>2596</v>
      </c>
      <c r="C78" s="1" t="s">
        <v>2597</v>
      </c>
      <c r="D78" s="8">
        <v>2807</v>
      </c>
      <c r="F78" s="160" t="s">
        <v>2503</v>
      </c>
      <c r="G78" s="1"/>
      <c r="I78" s="1"/>
    </row>
    <row r="79" spans="1:9">
      <c r="A79" s="158">
        <v>46</v>
      </c>
      <c r="B79" s="160" t="s">
        <v>2598</v>
      </c>
      <c r="C79" s="1" t="s">
        <v>2599</v>
      </c>
      <c r="D79" s="8">
        <v>3296</v>
      </c>
      <c r="F79" s="160" t="s">
        <v>2503</v>
      </c>
      <c r="G79" s="1"/>
      <c r="I79" s="1"/>
    </row>
    <row r="80" spans="1:9">
      <c r="A80" s="158">
        <v>47</v>
      </c>
      <c r="B80" s="160" t="s">
        <v>2600</v>
      </c>
      <c r="C80" s="21" t="s">
        <v>2601</v>
      </c>
      <c r="D80" s="8">
        <v>2992</v>
      </c>
      <c r="F80" s="160" t="s">
        <v>2502</v>
      </c>
      <c r="G80" s="1"/>
      <c r="I80" s="1"/>
    </row>
    <row r="81" spans="1:9">
      <c r="A81" s="158">
        <v>48</v>
      </c>
      <c r="B81" s="160" t="s">
        <v>2602</v>
      </c>
      <c r="C81" s="1" t="s">
        <v>2603</v>
      </c>
      <c r="D81" s="8">
        <v>3428</v>
      </c>
      <c r="F81" s="160" t="s">
        <v>2502</v>
      </c>
      <c r="G81" s="1"/>
      <c r="I81" s="1"/>
    </row>
    <row r="82" spans="1:9">
      <c r="A82" s="158">
        <v>49</v>
      </c>
      <c r="B82" s="160" t="s">
        <v>2604</v>
      </c>
      <c r="C82" s="21" t="s">
        <v>2605</v>
      </c>
      <c r="D82" s="8">
        <v>3186</v>
      </c>
      <c r="F82" s="160" t="s">
        <v>2502</v>
      </c>
      <c r="G82" s="1"/>
      <c r="I82" s="1"/>
    </row>
    <row r="83" spans="1:9">
      <c r="A83" s="158">
        <v>50</v>
      </c>
      <c r="B83" s="160" t="s">
        <v>2606</v>
      </c>
      <c r="C83" s="21" t="s">
        <v>2607</v>
      </c>
      <c r="D83" s="8">
        <v>5457</v>
      </c>
      <c r="F83" s="160" t="s">
        <v>2502</v>
      </c>
      <c r="G83" s="1"/>
      <c r="I83" s="1"/>
    </row>
    <row r="84" spans="1:9">
      <c r="A84" s="158">
        <v>51</v>
      </c>
      <c r="B84" s="160" t="s">
        <v>2608</v>
      </c>
      <c r="C84" s="1" t="s">
        <v>2609</v>
      </c>
      <c r="D84" s="8">
        <v>3262</v>
      </c>
      <c r="F84" s="160" t="s">
        <v>2503</v>
      </c>
      <c r="G84" s="1"/>
      <c r="I84" s="1"/>
    </row>
    <row r="85" spans="1:9">
      <c r="A85" s="159">
        <v>52</v>
      </c>
      <c r="B85" s="160" t="s">
        <v>2610</v>
      </c>
      <c r="C85" s="1" t="s">
        <v>2611</v>
      </c>
      <c r="D85" s="8">
        <v>3383</v>
      </c>
      <c r="F85" s="160" t="s">
        <v>2502</v>
      </c>
      <c r="G85" s="1"/>
      <c r="I85" s="1"/>
    </row>
    <row r="86" spans="1:9">
      <c r="A86" s="159">
        <v>53</v>
      </c>
      <c r="B86" s="160" t="s">
        <v>2612</v>
      </c>
      <c r="C86" s="1" t="s">
        <v>2613</v>
      </c>
      <c r="D86" s="8">
        <v>3533</v>
      </c>
      <c r="F86" s="160" t="s">
        <v>2506</v>
      </c>
      <c r="G86" s="1"/>
      <c r="I86" s="1"/>
    </row>
    <row r="87" spans="1:9">
      <c r="A87" s="158">
        <v>54</v>
      </c>
      <c r="B87" s="160" t="s">
        <v>2614</v>
      </c>
      <c r="C87" s="1" t="s">
        <v>2615</v>
      </c>
      <c r="D87" s="8">
        <v>3645</v>
      </c>
      <c r="F87" s="160" t="s">
        <v>2506</v>
      </c>
      <c r="G87" s="1"/>
      <c r="I87" s="1"/>
    </row>
    <row r="88" spans="1:9">
      <c r="A88" s="158">
        <v>55</v>
      </c>
      <c r="B88" s="160" t="s">
        <v>2616</v>
      </c>
      <c r="C88" s="1" t="s">
        <v>2617</v>
      </c>
      <c r="D88" s="8">
        <v>3012</v>
      </c>
      <c r="F88" s="160" t="s">
        <v>2503</v>
      </c>
      <c r="G88" s="1"/>
      <c r="I88" s="1"/>
    </row>
    <row r="89" spans="1:9">
      <c r="A89" s="158">
        <v>56</v>
      </c>
      <c r="B89" s="160" t="s">
        <v>2618</v>
      </c>
      <c r="C89" s="1" t="s">
        <v>2619</v>
      </c>
      <c r="D89" s="8">
        <v>3567</v>
      </c>
      <c r="F89" s="160" t="s">
        <v>2503</v>
      </c>
      <c r="G89" s="1"/>
      <c r="I89" s="1"/>
    </row>
    <row r="90" spans="1:9">
      <c r="A90" s="158">
        <v>57</v>
      </c>
      <c r="B90" s="160" t="s">
        <v>2620</v>
      </c>
      <c r="C90" s="1" t="s">
        <v>2621</v>
      </c>
      <c r="D90" s="8">
        <v>3500</v>
      </c>
      <c r="F90" s="160" t="s">
        <v>2502</v>
      </c>
      <c r="G90" s="1"/>
      <c r="I90" s="1"/>
    </row>
    <row r="91" spans="1:9">
      <c r="A91" s="158">
        <v>58</v>
      </c>
      <c r="B91" s="160" t="s">
        <v>2622</v>
      </c>
      <c r="C91" s="1" t="s">
        <v>2623</v>
      </c>
      <c r="D91" s="8">
        <v>2985</v>
      </c>
      <c r="F91" s="160" t="s">
        <v>2503</v>
      </c>
      <c r="G91" s="1"/>
      <c r="I91" s="1"/>
    </row>
    <row r="92" spans="1:9">
      <c r="A92" s="158">
        <v>59</v>
      </c>
      <c r="B92" s="160" t="s">
        <v>2624</v>
      </c>
      <c r="C92" s="1" t="s">
        <v>2625</v>
      </c>
      <c r="D92" s="8">
        <v>6233</v>
      </c>
      <c r="F92" s="160" t="s">
        <v>2502</v>
      </c>
      <c r="G92" s="1"/>
      <c r="I92" s="1"/>
    </row>
    <row r="93" spans="1:9">
      <c r="A93" s="158">
        <v>60</v>
      </c>
      <c r="B93" s="160" t="s">
        <v>2626</v>
      </c>
      <c r="C93" s="1" t="s">
        <v>2627</v>
      </c>
      <c r="D93" s="8">
        <v>5232</v>
      </c>
      <c r="F93" s="160" t="s">
        <v>2502</v>
      </c>
      <c r="G93" s="1"/>
      <c r="I93" s="1"/>
    </row>
    <row r="94" spans="1:9">
      <c r="A94" s="158">
        <v>61</v>
      </c>
      <c r="B94" s="160" t="s">
        <v>2628</v>
      </c>
      <c r="C94" s="1" t="s">
        <v>2629</v>
      </c>
      <c r="D94" s="8">
        <v>3146</v>
      </c>
      <c r="F94" s="160" t="s">
        <v>2502</v>
      </c>
      <c r="G94" s="1"/>
      <c r="I94" s="1"/>
    </row>
    <row r="95" spans="1:9">
      <c r="A95" s="158">
        <v>62</v>
      </c>
      <c r="B95" s="160" t="s">
        <v>2630</v>
      </c>
      <c r="C95" s="21" t="s">
        <v>2631</v>
      </c>
      <c r="D95" s="8">
        <v>3163</v>
      </c>
      <c r="F95" s="160" t="s">
        <v>2502</v>
      </c>
      <c r="G95" s="1"/>
      <c r="I95" s="1"/>
    </row>
    <row r="96" spans="1:9">
      <c r="A96" s="158">
        <v>63</v>
      </c>
      <c r="B96" s="160" t="s">
        <v>2632</v>
      </c>
      <c r="C96" s="1" t="s">
        <v>2633</v>
      </c>
      <c r="D96" s="8">
        <v>2944</v>
      </c>
      <c r="F96" s="160" t="s">
        <v>2506</v>
      </c>
      <c r="G96" s="1"/>
      <c r="I96" s="1"/>
    </row>
    <row r="97" spans="1:9">
      <c r="D97" s="165"/>
    </row>
    <row r="98" spans="1:9">
      <c r="A98" s="160" t="s">
        <v>2634</v>
      </c>
      <c r="D98" s="163">
        <f>D35+D36+SUM(D43:D45)+D72+D86+D87+D96</f>
        <v>34715</v>
      </c>
    </row>
    <row r="99" spans="1:9">
      <c r="A99" s="160" t="s">
        <v>2635</v>
      </c>
      <c r="D99" s="163">
        <f>D41+D46+SUM(D51:D54)+D56+D59+SUM(D64:D66)</f>
        <v>39497</v>
      </c>
    </row>
    <row r="100" spans="1:9">
      <c r="A100" s="160" t="s">
        <v>2502</v>
      </c>
      <c r="D100" s="163">
        <f>D49+D57+D60+D61+D67+D68+SUM(D73:D75)+D77+SUM(D80:D83)+D85+D90+SUM(D92:D95)</f>
        <v>77768</v>
      </c>
    </row>
    <row r="101" spans="1:9">
      <c r="A101" s="160" t="s">
        <v>2503</v>
      </c>
      <c r="D101" s="163">
        <f>D34+SUM(D37:D40)+D42+D47+D48+D50+D55+D58+D62+D63+SUM(D69:D71)+D76+D78+D79+D84+D88+D89+D91</f>
        <v>77830</v>
      </c>
    </row>
    <row r="103" spans="1:9">
      <c r="A103" s="161" t="s">
        <v>2636</v>
      </c>
    </row>
    <row r="104" spans="1:9">
      <c r="A104" s="161" t="s">
        <v>2637</v>
      </c>
    </row>
    <row r="107" spans="1:9">
      <c r="D107" s="39" t="s">
        <v>285</v>
      </c>
      <c r="E107" s="38"/>
      <c r="F107" s="38" t="s">
        <v>1842</v>
      </c>
    </row>
    <row r="108" spans="1:9">
      <c r="D108" s="39">
        <v>2016</v>
      </c>
      <c r="F108" s="41" t="s">
        <v>286</v>
      </c>
    </row>
    <row r="109" spans="1:9">
      <c r="A109" s="160" t="s">
        <v>2638</v>
      </c>
      <c r="C109" s="160"/>
      <c r="D109" s="163">
        <f>SUM(D110:D131)+SUM(D132:D139)</f>
        <v>119097</v>
      </c>
    </row>
    <row r="110" spans="1:9">
      <c r="A110" s="160" t="s">
        <v>812</v>
      </c>
      <c r="B110" s="161" t="s">
        <v>2639</v>
      </c>
      <c r="C110" s="1" t="s">
        <v>2640</v>
      </c>
      <c r="D110" s="7">
        <v>2208</v>
      </c>
      <c r="F110" s="160" t="s">
        <v>2506</v>
      </c>
      <c r="G110" s="1"/>
      <c r="I110" s="1"/>
    </row>
    <row r="111" spans="1:9">
      <c r="A111" s="160" t="s">
        <v>813</v>
      </c>
      <c r="B111" s="160" t="s">
        <v>2641</v>
      </c>
      <c r="C111" s="1" t="s">
        <v>2642</v>
      </c>
      <c r="D111" s="7">
        <v>2376</v>
      </c>
      <c r="F111" s="160" t="s">
        <v>2506</v>
      </c>
      <c r="G111" s="1"/>
      <c r="I111" s="1"/>
    </row>
    <row r="112" spans="1:9">
      <c r="A112" s="160" t="s">
        <v>814</v>
      </c>
      <c r="B112" s="160" t="s">
        <v>2643</v>
      </c>
      <c r="C112" s="1" t="s">
        <v>2644</v>
      </c>
      <c r="D112" s="8">
        <v>2137</v>
      </c>
      <c r="F112" s="160" t="s">
        <v>2506</v>
      </c>
      <c r="G112" s="1"/>
      <c r="I112" s="1"/>
    </row>
    <row r="113" spans="1:9">
      <c r="A113" s="160" t="s">
        <v>815</v>
      </c>
      <c r="B113" s="160" t="s">
        <v>2645</v>
      </c>
      <c r="C113" s="1" t="s">
        <v>2646</v>
      </c>
      <c r="D113" s="7">
        <v>4090</v>
      </c>
      <c r="F113" s="160" t="s">
        <v>2504</v>
      </c>
      <c r="G113" s="1"/>
      <c r="I113" s="1"/>
    </row>
    <row r="114" spans="1:9">
      <c r="A114" s="160" t="s">
        <v>816</v>
      </c>
      <c r="B114" s="160" t="s">
        <v>2647</v>
      </c>
      <c r="C114" s="1" t="s">
        <v>2648</v>
      </c>
      <c r="D114" s="8">
        <v>2381</v>
      </c>
      <c r="F114" s="160" t="s">
        <v>2506</v>
      </c>
      <c r="G114" s="1"/>
      <c r="I114" s="1"/>
    </row>
    <row r="115" spans="1:9">
      <c r="A115" s="160" t="s">
        <v>826</v>
      </c>
      <c r="B115" s="160" t="s">
        <v>246</v>
      </c>
      <c r="C115" s="1" t="s">
        <v>2649</v>
      </c>
      <c r="D115" s="8">
        <v>2134</v>
      </c>
      <c r="F115" s="160" t="s">
        <v>2506</v>
      </c>
      <c r="G115" s="1"/>
      <c r="I115" s="1"/>
    </row>
    <row r="116" spans="1:9">
      <c r="A116" s="160" t="s">
        <v>827</v>
      </c>
      <c r="B116" s="160" t="s">
        <v>2650</v>
      </c>
      <c r="C116" s="1" t="s">
        <v>2651</v>
      </c>
      <c r="D116" s="7">
        <v>6735</v>
      </c>
      <c r="F116" s="160" t="s">
        <v>2504</v>
      </c>
      <c r="G116" s="1"/>
      <c r="I116" s="1"/>
    </row>
    <row r="117" spans="1:9">
      <c r="A117" s="160" t="s">
        <v>828</v>
      </c>
      <c r="B117" s="160" t="s">
        <v>2652</v>
      </c>
      <c r="C117" s="1" t="s">
        <v>2653</v>
      </c>
      <c r="D117" s="8">
        <v>4468</v>
      </c>
      <c r="F117" s="160" t="s">
        <v>2504</v>
      </c>
      <c r="G117" s="1"/>
      <c r="I117" s="1"/>
    </row>
    <row r="118" spans="1:9">
      <c r="A118" s="160" t="s">
        <v>829</v>
      </c>
      <c r="B118" s="160" t="s">
        <v>2654</v>
      </c>
      <c r="C118" s="1" t="s">
        <v>2655</v>
      </c>
      <c r="D118" s="8">
        <v>2141</v>
      </c>
      <c r="F118" s="160" t="s">
        <v>2506</v>
      </c>
      <c r="G118" s="1"/>
      <c r="I118" s="1"/>
    </row>
    <row r="119" spans="1:9">
      <c r="A119" s="160" t="s">
        <v>830</v>
      </c>
      <c r="B119" s="160" t="s">
        <v>2656</v>
      </c>
      <c r="C119" s="1" t="s">
        <v>2657</v>
      </c>
      <c r="D119" s="8">
        <v>4549</v>
      </c>
      <c r="F119" s="160" t="s">
        <v>2506</v>
      </c>
      <c r="G119" s="1"/>
      <c r="I119" s="1"/>
    </row>
    <row r="120" spans="1:9">
      <c r="A120" s="160" t="s">
        <v>831</v>
      </c>
      <c r="B120" s="160" t="s">
        <v>2658</v>
      </c>
      <c r="C120" s="1" t="s">
        <v>2659</v>
      </c>
      <c r="D120" s="8">
        <v>2347</v>
      </c>
      <c r="F120" s="160" t="s">
        <v>2506</v>
      </c>
      <c r="G120" s="1"/>
      <c r="I120" s="1"/>
    </row>
    <row r="121" spans="1:9">
      <c r="A121" s="160" t="s">
        <v>832</v>
      </c>
      <c r="B121" s="160" t="s">
        <v>2660</v>
      </c>
      <c r="C121" s="1" t="s">
        <v>2661</v>
      </c>
      <c r="D121" s="8">
        <v>6382</v>
      </c>
      <c r="F121" s="160" t="s">
        <v>2504</v>
      </c>
      <c r="G121" s="1"/>
      <c r="I121" s="1"/>
    </row>
    <row r="122" spans="1:9">
      <c r="A122" s="160" t="s">
        <v>833</v>
      </c>
      <c r="B122" s="160" t="s">
        <v>2662</v>
      </c>
      <c r="C122" s="1" t="s">
        <v>2663</v>
      </c>
      <c r="D122" s="8">
        <v>2169</v>
      </c>
      <c r="F122" s="160" t="s">
        <v>2506</v>
      </c>
      <c r="G122" s="1"/>
      <c r="I122" s="1"/>
    </row>
    <row r="123" spans="1:9">
      <c r="A123" s="160" t="s">
        <v>834</v>
      </c>
      <c r="B123" s="160" t="s">
        <v>2664</v>
      </c>
      <c r="C123" s="1" t="s">
        <v>2665</v>
      </c>
      <c r="D123" s="7">
        <v>4273</v>
      </c>
      <c r="F123" s="160" t="s">
        <v>2504</v>
      </c>
      <c r="G123" s="1"/>
      <c r="I123" s="1"/>
    </row>
    <row r="124" spans="1:9">
      <c r="A124" s="160" t="s">
        <v>835</v>
      </c>
      <c r="B124" s="160" t="s">
        <v>2666</v>
      </c>
      <c r="C124" s="1" t="s">
        <v>2667</v>
      </c>
      <c r="D124" s="7">
        <v>2459</v>
      </c>
      <c r="F124" s="160" t="s">
        <v>2504</v>
      </c>
      <c r="G124" s="1"/>
      <c r="I124" s="1"/>
    </row>
    <row r="125" spans="1:9">
      <c r="A125" s="160" t="s">
        <v>836</v>
      </c>
      <c r="B125" s="160" t="s">
        <v>2668</v>
      </c>
      <c r="C125" s="1" t="s">
        <v>2669</v>
      </c>
      <c r="D125" s="7">
        <v>6789</v>
      </c>
      <c r="F125" s="160" t="s">
        <v>2504</v>
      </c>
      <c r="G125" s="1"/>
      <c r="I125" s="1"/>
    </row>
    <row r="126" spans="1:9">
      <c r="A126" s="160" t="s">
        <v>837</v>
      </c>
      <c r="B126" s="160" t="s">
        <v>2670</v>
      </c>
      <c r="C126" s="1" t="s">
        <v>2671</v>
      </c>
      <c r="D126" s="7">
        <v>7364</v>
      </c>
      <c r="F126" s="160" t="s">
        <v>2504</v>
      </c>
      <c r="G126" s="1"/>
      <c r="I126" s="1"/>
    </row>
    <row r="127" spans="1:9">
      <c r="A127" s="160" t="s">
        <v>838</v>
      </c>
      <c r="B127" s="160" t="s">
        <v>2672</v>
      </c>
      <c r="C127" s="1" t="s">
        <v>2673</v>
      </c>
      <c r="D127" s="7">
        <v>4151</v>
      </c>
      <c r="F127" s="160" t="s">
        <v>2504</v>
      </c>
      <c r="G127" s="1"/>
      <c r="I127" s="1"/>
    </row>
    <row r="128" spans="1:9">
      <c r="A128" s="160" t="s">
        <v>840</v>
      </c>
      <c r="B128" s="160" t="s">
        <v>2674</v>
      </c>
      <c r="C128" s="1" t="s">
        <v>2675</v>
      </c>
      <c r="D128" s="8">
        <v>4977</v>
      </c>
      <c r="F128" s="160" t="s">
        <v>2506</v>
      </c>
      <c r="G128" s="1"/>
      <c r="I128" s="1"/>
    </row>
    <row r="129" spans="1:9">
      <c r="A129" s="160" t="s">
        <v>841</v>
      </c>
      <c r="B129" s="160" t="s">
        <v>2676</v>
      </c>
      <c r="C129" s="1" t="s">
        <v>2677</v>
      </c>
      <c r="D129" s="8">
        <v>4431</v>
      </c>
      <c r="F129" s="160" t="s">
        <v>2506</v>
      </c>
      <c r="G129" s="1"/>
      <c r="I129" s="1"/>
    </row>
    <row r="130" spans="1:9">
      <c r="A130" s="160" t="s">
        <v>878</v>
      </c>
      <c r="B130" s="160" t="s">
        <v>2678</v>
      </c>
      <c r="C130" s="1" t="s">
        <v>2679</v>
      </c>
      <c r="D130" s="8">
        <v>3897</v>
      </c>
      <c r="F130" s="160" t="s">
        <v>2506</v>
      </c>
      <c r="G130" s="1"/>
      <c r="I130" s="1"/>
    </row>
    <row r="131" spans="1:9">
      <c r="A131" s="160" t="s">
        <v>879</v>
      </c>
      <c r="B131" s="160" t="s">
        <v>2680</v>
      </c>
      <c r="C131" s="1" t="s">
        <v>2681</v>
      </c>
      <c r="D131" s="7">
        <v>5967</v>
      </c>
      <c r="F131" s="160" t="s">
        <v>2504</v>
      </c>
      <c r="G131" s="1"/>
      <c r="I131" s="1"/>
    </row>
    <row r="132" spans="1:9">
      <c r="A132" s="160" t="s">
        <v>880</v>
      </c>
      <c r="B132" s="160" t="s">
        <v>303</v>
      </c>
      <c r="C132" s="1" t="s">
        <v>2682</v>
      </c>
      <c r="D132" s="8">
        <v>2161</v>
      </c>
      <c r="F132" s="160" t="s">
        <v>2506</v>
      </c>
      <c r="G132" s="1"/>
      <c r="I132" s="1"/>
    </row>
    <row r="133" spans="1:9">
      <c r="A133" s="160" t="s">
        <v>721</v>
      </c>
      <c r="B133" s="160" t="s">
        <v>2683</v>
      </c>
      <c r="C133" s="1" t="s">
        <v>2684</v>
      </c>
      <c r="D133" s="7">
        <v>4506</v>
      </c>
      <c r="F133" s="160" t="s">
        <v>2504</v>
      </c>
      <c r="G133" s="1"/>
      <c r="I133" s="1"/>
    </row>
    <row r="134" spans="1:9">
      <c r="A134" s="160" t="s">
        <v>722</v>
      </c>
      <c r="B134" s="160" t="s">
        <v>2685</v>
      </c>
      <c r="C134" s="1" t="s">
        <v>2686</v>
      </c>
      <c r="D134" s="7">
        <v>4443</v>
      </c>
      <c r="F134" s="160" t="s">
        <v>2504</v>
      </c>
      <c r="G134" s="1"/>
      <c r="I134" s="1"/>
    </row>
    <row r="135" spans="1:9">
      <c r="A135" s="160" t="s">
        <v>723</v>
      </c>
      <c r="B135" s="160" t="s">
        <v>2687</v>
      </c>
      <c r="C135" s="1" t="s">
        <v>2688</v>
      </c>
      <c r="D135" s="8">
        <v>2323</v>
      </c>
      <c r="F135" s="160" t="s">
        <v>2506</v>
      </c>
      <c r="G135" s="1"/>
      <c r="I135" s="1"/>
    </row>
    <row r="136" spans="1:9">
      <c r="A136" s="160" t="s">
        <v>733</v>
      </c>
      <c r="B136" s="2" t="s">
        <v>2689</v>
      </c>
      <c r="C136" s="1" t="s">
        <v>2690</v>
      </c>
      <c r="D136" s="7">
        <v>6536</v>
      </c>
      <c r="F136" s="160" t="s">
        <v>2504</v>
      </c>
      <c r="G136" s="1"/>
      <c r="I136" s="1"/>
    </row>
    <row r="137" spans="1:9">
      <c r="A137" s="160" t="s">
        <v>734</v>
      </c>
      <c r="B137" s="160" t="s">
        <v>2691</v>
      </c>
      <c r="C137" s="1" t="s">
        <v>2692</v>
      </c>
      <c r="D137" s="7">
        <v>3915</v>
      </c>
      <c r="F137" s="160" t="s">
        <v>2504</v>
      </c>
      <c r="G137" s="1"/>
      <c r="I137" s="1"/>
    </row>
    <row r="138" spans="1:9">
      <c r="A138" s="160" t="s">
        <v>735</v>
      </c>
      <c r="B138" s="2" t="s">
        <v>2693</v>
      </c>
      <c r="C138" s="1" t="s">
        <v>2694</v>
      </c>
      <c r="D138" s="8">
        <v>2310</v>
      </c>
      <c r="F138" s="160" t="s">
        <v>2506</v>
      </c>
      <c r="G138" s="1"/>
      <c r="I138" s="1"/>
    </row>
    <row r="139" spans="1:9">
      <c r="A139" s="160" t="s">
        <v>736</v>
      </c>
      <c r="B139" s="160" t="s">
        <v>2695</v>
      </c>
      <c r="C139" s="1" t="s">
        <v>2696</v>
      </c>
      <c r="D139" s="7">
        <v>4478</v>
      </c>
      <c r="F139" s="160" t="s">
        <v>2504</v>
      </c>
      <c r="G139" s="1"/>
      <c r="I139" s="1"/>
    </row>
    <row r="140" spans="1:9">
      <c r="D140" s="165"/>
    </row>
    <row r="141" spans="1:9">
      <c r="A141" s="160" t="s">
        <v>2634</v>
      </c>
      <c r="D141" s="163">
        <f>SUM(D110:D112)+D114+D115+SUM(D118:D120)+D122+SUM(D128:D130)+D132+D135+D138</f>
        <v>42541</v>
      </c>
    </row>
    <row r="142" spans="1:9">
      <c r="A142" s="160" t="s">
        <v>2504</v>
      </c>
      <c r="D142" s="163">
        <f>D113+D116+D117+D121+SUM(D123:D127)+D131+D133+D134+D136+D137+D139</f>
        <v>76556</v>
      </c>
    </row>
    <row r="144" spans="1:9">
      <c r="A144" s="161" t="s">
        <v>2697</v>
      </c>
    </row>
  </sheetData>
  <printOptions gridLinesSet="0"/>
  <pageMargins left="0.78740157480314965" right="0" top="0.51181102362204722" bottom="0.51181102362204722" header="0.51181102362204722" footer="0.51181102362204722"/>
  <pageSetup paperSize="9" scale="90" orientation="portrait" horizontalDpi="300" verticalDpi="300" r:id="rId1"/>
  <headerFooter alignWithMargins="0">
    <oddFooter>&amp;C&amp;"Times New Roman,Regular"&amp;8&amp;P of &amp;N</oddFooter>
  </headerFooter>
  <rowBreaks count="1" manualBreakCount="1">
    <brk id="73" max="4" man="1"/>
  </rowBreaks>
  <ignoredErrors>
    <ignoredError sqref="D3:D142" unlockedFormula="1"/>
  </ignoredError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22"/>
  <sheetViews>
    <sheetView showGridLines="0" zoomScaleNormal="100" workbookViewId="0"/>
  </sheetViews>
  <sheetFormatPr defaultColWidth="12.59765625" defaultRowHeight="14.5"/>
  <cols>
    <col min="1" max="1" width="4.8984375" style="114" customWidth="1"/>
    <col min="2" max="2" width="40.69921875" style="114" customWidth="1"/>
    <col min="3" max="3" width="11.59765625" style="114" customWidth="1"/>
    <col min="4" max="4" width="10.09765625" style="114" customWidth="1"/>
    <col min="5" max="5" width="2.296875" style="114" customWidth="1"/>
    <col min="6" max="6" width="34.8984375" style="114" customWidth="1"/>
    <col min="7" max="16384" width="12.59765625" style="114"/>
  </cols>
  <sheetData>
    <row r="1" spans="1:6">
      <c r="A1" s="113" t="s">
        <v>1075</v>
      </c>
      <c r="D1" s="39">
        <v>2016</v>
      </c>
    </row>
    <row r="3" spans="1:6">
      <c r="A3" s="113" t="s">
        <v>804</v>
      </c>
      <c r="D3" s="115">
        <f>SUM(D5:D9)</f>
        <v>389032</v>
      </c>
    </row>
    <row r="4" spans="1:6">
      <c r="D4" s="116"/>
    </row>
    <row r="5" spans="1:6">
      <c r="A5" s="113" t="s">
        <v>547</v>
      </c>
      <c r="C5" s="113"/>
      <c r="D5" s="115">
        <f>D40</f>
        <v>79769</v>
      </c>
      <c r="F5" s="117"/>
    </row>
    <row r="6" spans="1:6">
      <c r="A6" s="113" t="s">
        <v>548</v>
      </c>
      <c r="C6" s="113"/>
      <c r="D6" s="115">
        <f>D85</f>
        <v>86874</v>
      </c>
      <c r="F6" s="117"/>
    </row>
    <row r="7" spans="1:6">
      <c r="A7" s="113" t="s">
        <v>344</v>
      </c>
      <c r="C7" s="113"/>
      <c r="D7" s="115">
        <f>D118</f>
        <v>117938</v>
      </c>
      <c r="F7" s="117"/>
    </row>
    <row r="8" spans="1:6">
      <c r="A8" s="113" t="s">
        <v>345</v>
      </c>
      <c r="C8" s="113"/>
      <c r="D8" s="115">
        <f>D167</f>
        <v>78187</v>
      </c>
      <c r="F8" s="117"/>
    </row>
    <row r="9" spans="1:6">
      <c r="A9" s="113" t="s">
        <v>346</v>
      </c>
      <c r="C9" s="113"/>
      <c r="D9" s="115">
        <f>D202</f>
        <v>26264</v>
      </c>
      <c r="F9" s="117"/>
    </row>
    <row r="11" spans="1:6">
      <c r="A11" s="113" t="s">
        <v>347</v>
      </c>
      <c r="D11" s="115">
        <f>D110</f>
        <v>46959</v>
      </c>
      <c r="F11" s="113" t="s">
        <v>16</v>
      </c>
    </row>
    <row r="12" spans="1:6" ht="15" thickBot="1">
      <c r="D12" s="118">
        <f>D220</f>
        <v>26264</v>
      </c>
      <c r="F12" s="113" t="s">
        <v>803</v>
      </c>
    </row>
    <row r="13" spans="1:6" ht="15" thickBot="1">
      <c r="D13" s="118">
        <f>D11+D12</f>
        <v>73223</v>
      </c>
    </row>
    <row r="14" spans="1:6">
      <c r="D14" s="136"/>
    </row>
    <row r="15" spans="1:6">
      <c r="A15" s="106" t="s">
        <v>418</v>
      </c>
      <c r="D15" s="136">
        <f>'"AVON"'!D27</f>
        <v>55821</v>
      </c>
      <c r="F15" s="106" t="s">
        <v>417</v>
      </c>
    </row>
    <row r="16" spans="1:6" ht="15" thickBot="1">
      <c r="D16" s="118">
        <f>D76</f>
        <v>17185</v>
      </c>
      <c r="F16" s="114" t="s">
        <v>18</v>
      </c>
    </row>
    <row r="17" spans="1:6" ht="15" thickBot="1">
      <c r="D17" s="118">
        <f>D15+D16</f>
        <v>73006</v>
      </c>
    </row>
    <row r="18" spans="1:6">
      <c r="D18" s="116"/>
    </row>
    <row r="19" spans="1:6">
      <c r="A19" s="113" t="s">
        <v>17</v>
      </c>
      <c r="D19" s="115">
        <f>D77</f>
        <v>30830</v>
      </c>
      <c r="F19" s="113" t="s">
        <v>18</v>
      </c>
    </row>
    <row r="20" spans="1:6" ht="15" thickBot="1">
      <c r="D20" s="118">
        <f>D159</f>
        <v>41587</v>
      </c>
      <c r="F20" s="113" t="s">
        <v>19</v>
      </c>
    </row>
    <row r="21" spans="1:6" ht="15" thickBot="1">
      <c r="D21" s="118">
        <f>D19+D20</f>
        <v>72417</v>
      </c>
    </row>
    <row r="22" spans="1:6">
      <c r="D22" s="116"/>
    </row>
    <row r="23" spans="1:6">
      <c r="A23" s="113" t="s">
        <v>20</v>
      </c>
      <c r="D23" s="115">
        <f>D195</f>
        <v>78187</v>
      </c>
      <c r="F23" s="113" t="s">
        <v>802</v>
      </c>
    </row>
    <row r="24" spans="1:6">
      <c r="D24" s="116"/>
    </row>
    <row r="25" spans="1:6">
      <c r="A25" s="113" t="s">
        <v>21</v>
      </c>
      <c r="D25" s="115">
        <f>D78</f>
        <v>31754</v>
      </c>
      <c r="F25" s="113" t="s">
        <v>18</v>
      </c>
    </row>
    <row r="26" spans="1:6" ht="15" thickBot="1">
      <c r="D26" s="118">
        <f>D111</f>
        <v>39915</v>
      </c>
      <c r="F26" s="113" t="s">
        <v>16</v>
      </c>
    </row>
    <row r="27" spans="1:6" ht="15" thickBot="1">
      <c r="D27" s="118">
        <f>D25+D26</f>
        <v>71669</v>
      </c>
    </row>
    <row r="28" spans="1:6">
      <c r="D28" s="116"/>
    </row>
    <row r="29" spans="1:6">
      <c r="A29" s="113" t="s">
        <v>22</v>
      </c>
      <c r="D29" s="115">
        <f>D160</f>
        <v>76351</v>
      </c>
      <c r="F29" s="113" t="s">
        <v>19</v>
      </c>
    </row>
    <row r="30" spans="1:6">
      <c r="D30" s="116"/>
    </row>
    <row r="31" spans="1:6">
      <c r="A31" s="113" t="s">
        <v>1041</v>
      </c>
      <c r="D31" s="115">
        <f>D13+D16+D21+D23+D27+D29</f>
        <v>389032</v>
      </c>
    </row>
    <row r="32" spans="1:6">
      <c r="D32" s="116"/>
    </row>
    <row r="33" spans="1:9">
      <c r="A33" s="113" t="s">
        <v>1042</v>
      </c>
      <c r="D33" s="115">
        <f>MAX(D13,D17,D21,D23,D27,D29)-MIN(D13,D17,D21,D23,D27,D29)</f>
        <v>6518</v>
      </c>
    </row>
    <row r="34" spans="1:9">
      <c r="D34" s="116"/>
    </row>
    <row r="35" spans="1:9">
      <c r="A35" s="113" t="s">
        <v>1045</v>
      </c>
      <c r="D35" s="115">
        <f>STDEVP(D13,D17,D21,D23,D27,D29)</f>
        <v>2326.2314600132881</v>
      </c>
    </row>
    <row r="36" spans="1:9">
      <c r="A36" s="113"/>
      <c r="D36" s="115"/>
    </row>
    <row r="37" spans="1:9">
      <c r="A37" s="113"/>
      <c r="D37" s="119"/>
    </row>
    <row r="38" spans="1:9">
      <c r="D38" s="10" t="s">
        <v>285</v>
      </c>
      <c r="F38" s="38" t="s">
        <v>1842</v>
      </c>
    </row>
    <row r="39" spans="1:9">
      <c r="D39" s="39">
        <v>2016</v>
      </c>
      <c r="E39" s="40"/>
      <c r="F39" s="41" t="s">
        <v>286</v>
      </c>
    </row>
    <row r="40" spans="1:9">
      <c r="A40" s="113" t="s">
        <v>23</v>
      </c>
      <c r="C40" s="113"/>
      <c r="D40" s="115">
        <f>SUM(D41:D74)</f>
        <v>79769</v>
      </c>
    </row>
    <row r="41" spans="1:9">
      <c r="A41" s="120">
        <v>1</v>
      </c>
      <c r="B41" s="113" t="s">
        <v>24</v>
      </c>
      <c r="C41" s="1" t="s">
        <v>1250</v>
      </c>
      <c r="D41" s="13">
        <v>1810</v>
      </c>
      <c r="F41" s="106" t="s">
        <v>418</v>
      </c>
      <c r="G41" s="1"/>
      <c r="I41" s="1"/>
    </row>
    <row r="42" spans="1:9">
      <c r="A42" s="120">
        <v>2</v>
      </c>
      <c r="B42" s="113" t="s">
        <v>25</v>
      </c>
      <c r="C42" s="1" t="s">
        <v>1251</v>
      </c>
      <c r="D42" s="13">
        <v>3342</v>
      </c>
      <c r="F42" s="106" t="s">
        <v>418</v>
      </c>
      <c r="G42" s="1"/>
      <c r="I42" s="1"/>
    </row>
    <row r="43" spans="1:9">
      <c r="A43" s="120">
        <v>3</v>
      </c>
      <c r="B43" s="113" t="s">
        <v>26</v>
      </c>
      <c r="C43" s="1" t="s">
        <v>1252</v>
      </c>
      <c r="D43" s="13">
        <v>1573</v>
      </c>
      <c r="F43" s="113" t="s">
        <v>17</v>
      </c>
      <c r="G43" s="1"/>
      <c r="I43" s="1"/>
    </row>
    <row r="44" spans="1:9">
      <c r="A44" s="120">
        <v>4</v>
      </c>
      <c r="B44" s="113" t="s">
        <v>27</v>
      </c>
      <c r="C44" s="1" t="s">
        <v>1253</v>
      </c>
      <c r="D44" s="13">
        <v>1702</v>
      </c>
      <c r="F44" s="113" t="s">
        <v>17</v>
      </c>
      <c r="G44" s="1"/>
      <c r="I44" s="1"/>
    </row>
    <row r="45" spans="1:9">
      <c r="A45" s="120">
        <v>5</v>
      </c>
      <c r="B45" s="113" t="s">
        <v>28</v>
      </c>
      <c r="C45" s="1" t="s">
        <v>1254</v>
      </c>
      <c r="D45" s="13">
        <v>1611</v>
      </c>
      <c r="F45" s="106" t="s">
        <v>418</v>
      </c>
      <c r="G45" s="1"/>
      <c r="I45" s="1"/>
    </row>
    <row r="46" spans="1:9">
      <c r="A46" s="120">
        <v>6</v>
      </c>
      <c r="B46" s="113" t="s">
        <v>29</v>
      </c>
      <c r="C46" s="1" t="s">
        <v>1255</v>
      </c>
      <c r="D46" s="13">
        <v>3570</v>
      </c>
      <c r="F46" s="106" t="s">
        <v>418</v>
      </c>
      <c r="G46" s="1"/>
      <c r="I46" s="1"/>
    </row>
    <row r="47" spans="1:9">
      <c r="A47" s="120">
        <v>7</v>
      </c>
      <c r="B47" s="113" t="s">
        <v>30</v>
      </c>
      <c r="C47" s="1" t="s">
        <v>1256</v>
      </c>
      <c r="D47" s="13">
        <v>1744</v>
      </c>
      <c r="F47" s="113" t="s">
        <v>17</v>
      </c>
      <c r="G47" s="1"/>
      <c r="I47" s="1"/>
    </row>
    <row r="48" spans="1:9">
      <c r="A48" s="120">
        <v>8</v>
      </c>
      <c r="B48" s="113" t="s">
        <v>31</v>
      </c>
      <c r="C48" s="1" t="s">
        <v>1257</v>
      </c>
      <c r="D48" s="13">
        <v>1755</v>
      </c>
      <c r="F48" s="113" t="s">
        <v>17</v>
      </c>
      <c r="G48" s="1"/>
      <c r="I48" s="1"/>
    </row>
    <row r="49" spans="1:9">
      <c r="A49" s="120">
        <v>9</v>
      </c>
      <c r="B49" s="114" t="s">
        <v>32</v>
      </c>
      <c r="C49" s="1" t="s">
        <v>1258</v>
      </c>
      <c r="D49" s="13">
        <v>1930</v>
      </c>
      <c r="F49" s="113" t="s">
        <v>21</v>
      </c>
      <c r="G49" s="1"/>
      <c r="I49" s="1"/>
    </row>
    <row r="50" spans="1:9">
      <c r="A50" s="120">
        <v>10</v>
      </c>
      <c r="B50" s="113" t="s">
        <v>33</v>
      </c>
      <c r="C50" s="1" t="s">
        <v>1259</v>
      </c>
      <c r="D50" s="13">
        <v>3265</v>
      </c>
      <c r="F50" s="113" t="s">
        <v>17</v>
      </c>
      <c r="G50" s="1"/>
      <c r="I50" s="1"/>
    </row>
    <row r="51" spans="1:9">
      <c r="A51" s="120">
        <v>11</v>
      </c>
      <c r="B51" s="113" t="s">
        <v>34</v>
      </c>
      <c r="C51" s="1" t="s">
        <v>1260</v>
      </c>
      <c r="D51" s="13">
        <v>3230</v>
      </c>
      <c r="F51" s="113" t="s">
        <v>17</v>
      </c>
      <c r="G51" s="1"/>
      <c r="I51" s="1"/>
    </row>
    <row r="52" spans="1:9">
      <c r="A52" s="120">
        <v>12</v>
      </c>
      <c r="B52" s="113" t="s">
        <v>35</v>
      </c>
      <c r="C52" s="1" t="s">
        <v>1261</v>
      </c>
      <c r="D52" s="13">
        <v>3692</v>
      </c>
      <c r="F52" s="113" t="s">
        <v>17</v>
      </c>
      <c r="G52" s="1"/>
      <c r="I52" s="1"/>
    </row>
    <row r="53" spans="1:9">
      <c r="A53" s="120">
        <v>13</v>
      </c>
      <c r="B53" s="113" t="s">
        <v>36</v>
      </c>
      <c r="C53" s="1" t="s">
        <v>1262</v>
      </c>
      <c r="D53" s="13">
        <v>3384</v>
      </c>
      <c r="F53" s="113" t="s">
        <v>17</v>
      </c>
      <c r="G53" s="1"/>
      <c r="I53" s="1"/>
    </row>
    <row r="54" spans="1:9">
      <c r="A54" s="120">
        <v>14</v>
      </c>
      <c r="B54" s="113" t="s">
        <v>37</v>
      </c>
      <c r="C54" s="1" t="s">
        <v>1263</v>
      </c>
      <c r="D54" s="13">
        <v>1791</v>
      </c>
      <c r="F54" s="113" t="s">
        <v>17</v>
      </c>
      <c r="G54" s="1"/>
      <c r="I54" s="1"/>
    </row>
    <row r="55" spans="1:9">
      <c r="A55" s="120">
        <v>15</v>
      </c>
      <c r="B55" s="113" t="s">
        <v>38</v>
      </c>
      <c r="C55" s="1" t="s">
        <v>1264</v>
      </c>
      <c r="D55" s="13">
        <v>3453</v>
      </c>
      <c r="F55" s="113" t="s">
        <v>17</v>
      </c>
      <c r="G55" s="1"/>
      <c r="I55" s="1"/>
    </row>
    <row r="56" spans="1:9">
      <c r="A56" s="120">
        <v>16</v>
      </c>
      <c r="B56" s="113" t="s">
        <v>39</v>
      </c>
      <c r="C56" s="1" t="s">
        <v>1265</v>
      </c>
      <c r="D56" s="13">
        <v>1734</v>
      </c>
      <c r="F56" s="113" t="s">
        <v>21</v>
      </c>
      <c r="G56" s="1"/>
      <c r="I56" s="1"/>
    </row>
    <row r="57" spans="1:9">
      <c r="A57" s="120">
        <v>17</v>
      </c>
      <c r="B57" s="113" t="s">
        <v>40</v>
      </c>
      <c r="C57" s="1" t="s">
        <v>1266</v>
      </c>
      <c r="D57" s="13">
        <v>1546</v>
      </c>
      <c r="F57" s="113" t="s">
        <v>21</v>
      </c>
      <c r="G57" s="1"/>
      <c r="I57" s="1"/>
    </row>
    <row r="58" spans="1:9">
      <c r="A58" s="120">
        <v>18</v>
      </c>
      <c r="B58" s="113" t="s">
        <v>41</v>
      </c>
      <c r="C58" s="1" t="s">
        <v>1267</v>
      </c>
      <c r="D58" s="13">
        <v>1697</v>
      </c>
      <c r="F58" s="113" t="s">
        <v>21</v>
      </c>
      <c r="G58" s="1"/>
      <c r="I58" s="1"/>
    </row>
    <row r="59" spans="1:9">
      <c r="A59" s="120">
        <v>19</v>
      </c>
      <c r="B59" s="113" t="s">
        <v>42</v>
      </c>
      <c r="C59" s="1" t="s">
        <v>1268</v>
      </c>
      <c r="D59" s="13">
        <v>1586</v>
      </c>
      <c r="F59" s="113" t="s">
        <v>21</v>
      </c>
      <c r="G59" s="1"/>
      <c r="I59" s="1"/>
    </row>
    <row r="60" spans="1:9">
      <c r="A60" s="120">
        <v>20</v>
      </c>
      <c r="B60" s="113" t="s">
        <v>661</v>
      </c>
      <c r="C60" s="1" t="s">
        <v>1269</v>
      </c>
      <c r="D60" s="13">
        <v>1968</v>
      </c>
      <c r="F60" s="113" t="s">
        <v>21</v>
      </c>
      <c r="G60" s="1"/>
      <c r="I60" s="1"/>
    </row>
    <row r="61" spans="1:9">
      <c r="A61" s="120">
        <v>21</v>
      </c>
      <c r="B61" s="113" t="s">
        <v>43</v>
      </c>
      <c r="C61" s="1" t="s">
        <v>1270</v>
      </c>
      <c r="D61" s="13">
        <v>1637</v>
      </c>
      <c r="F61" s="113" t="s">
        <v>17</v>
      </c>
      <c r="G61" s="1"/>
      <c r="I61" s="1"/>
    </row>
    <row r="62" spans="1:9">
      <c r="A62" s="120">
        <v>22</v>
      </c>
      <c r="B62" s="113" t="s">
        <v>44</v>
      </c>
      <c r="C62" s="1" t="s">
        <v>1271</v>
      </c>
      <c r="D62" s="13">
        <v>1787</v>
      </c>
      <c r="F62" s="113" t="s">
        <v>17</v>
      </c>
      <c r="G62" s="1"/>
      <c r="I62" s="1"/>
    </row>
    <row r="63" spans="1:9">
      <c r="A63" s="120">
        <v>23</v>
      </c>
      <c r="B63" s="113" t="s">
        <v>45</v>
      </c>
      <c r="C63" s="1" t="s">
        <v>1272</v>
      </c>
      <c r="D63" s="13">
        <v>1723</v>
      </c>
      <c r="F63" s="113" t="s">
        <v>21</v>
      </c>
      <c r="G63" s="1"/>
      <c r="I63" s="1"/>
    </row>
    <row r="64" spans="1:9">
      <c r="A64" s="120">
        <v>24</v>
      </c>
      <c r="B64" s="113" t="s">
        <v>46</v>
      </c>
      <c r="C64" s="1" t="s">
        <v>1273</v>
      </c>
      <c r="D64" s="13">
        <v>1842</v>
      </c>
      <c r="F64" s="113" t="s">
        <v>21</v>
      </c>
      <c r="G64" s="1"/>
      <c r="I64" s="1"/>
    </row>
    <row r="65" spans="1:9">
      <c r="A65" s="120">
        <v>25</v>
      </c>
      <c r="B65" s="113" t="s">
        <v>47</v>
      </c>
      <c r="C65" s="1" t="s">
        <v>1274</v>
      </c>
      <c r="D65" s="13">
        <v>3331</v>
      </c>
      <c r="F65" s="106" t="s">
        <v>418</v>
      </c>
      <c r="G65" s="1"/>
      <c r="I65" s="1"/>
    </row>
    <row r="66" spans="1:9">
      <c r="A66" s="120">
        <v>26</v>
      </c>
      <c r="B66" s="113" t="s">
        <v>428</v>
      </c>
      <c r="C66" s="1" t="s">
        <v>1275</v>
      </c>
      <c r="D66" s="13">
        <v>3521</v>
      </c>
      <c r="F66" s="106" t="s">
        <v>418</v>
      </c>
      <c r="G66" s="1"/>
      <c r="I66" s="1"/>
    </row>
    <row r="67" spans="1:9">
      <c r="A67" s="120">
        <v>27</v>
      </c>
      <c r="B67" s="113" t="s">
        <v>429</v>
      </c>
      <c r="C67" s="1" t="s">
        <v>1276</v>
      </c>
      <c r="D67" s="13">
        <v>2773</v>
      </c>
      <c r="F67" s="113" t="s">
        <v>21</v>
      </c>
      <c r="G67" s="1"/>
      <c r="I67" s="1"/>
    </row>
    <row r="68" spans="1:9">
      <c r="A68" s="120">
        <v>28</v>
      </c>
      <c r="B68" s="113" t="s">
        <v>430</v>
      </c>
      <c r="C68" s="1" t="s">
        <v>1277</v>
      </c>
      <c r="D68" s="13">
        <v>3530</v>
      </c>
      <c r="F68" s="113" t="s">
        <v>21</v>
      </c>
      <c r="G68" s="1"/>
      <c r="I68" s="1"/>
    </row>
    <row r="69" spans="1:9">
      <c r="A69" s="120">
        <v>29</v>
      </c>
      <c r="B69" s="113" t="s">
        <v>431</v>
      </c>
      <c r="C69" s="1" t="s">
        <v>1278</v>
      </c>
      <c r="D69" s="13">
        <v>1689</v>
      </c>
      <c r="F69" s="113" t="s">
        <v>21</v>
      </c>
      <c r="G69" s="1"/>
      <c r="I69" s="1"/>
    </row>
    <row r="70" spans="1:9">
      <c r="A70" s="120">
        <v>30</v>
      </c>
      <c r="B70" s="113" t="s">
        <v>432</v>
      </c>
      <c r="C70" s="1" t="s">
        <v>1279</v>
      </c>
      <c r="D70" s="13">
        <v>1817</v>
      </c>
      <c r="F70" s="113" t="s">
        <v>17</v>
      </c>
      <c r="G70" s="1"/>
      <c r="I70" s="1"/>
    </row>
    <row r="71" spans="1:9">
      <c r="A71" s="120">
        <v>31</v>
      </c>
      <c r="B71" s="113" t="s">
        <v>433</v>
      </c>
      <c r="C71" s="1" t="s">
        <v>1280</v>
      </c>
      <c r="D71" s="13">
        <v>1500</v>
      </c>
      <c r="F71" s="113" t="s">
        <v>21</v>
      </c>
      <c r="G71" s="1"/>
      <c r="I71" s="1"/>
    </row>
    <row r="72" spans="1:9">
      <c r="A72" s="120">
        <v>32</v>
      </c>
      <c r="B72" s="113" t="s">
        <v>434</v>
      </c>
      <c r="C72" s="1" t="s">
        <v>1281</v>
      </c>
      <c r="D72" s="13">
        <v>3180</v>
      </c>
      <c r="F72" s="113" t="s">
        <v>21</v>
      </c>
      <c r="G72" s="1"/>
      <c r="I72" s="1"/>
    </row>
    <row r="73" spans="1:9">
      <c r="A73" s="120">
        <v>33</v>
      </c>
      <c r="B73" s="113" t="s">
        <v>435</v>
      </c>
      <c r="C73" s="1" t="s">
        <v>1282</v>
      </c>
      <c r="D73" s="13">
        <v>3198</v>
      </c>
      <c r="F73" s="113" t="s">
        <v>21</v>
      </c>
      <c r="G73" s="1"/>
      <c r="I73" s="1"/>
    </row>
    <row r="74" spans="1:9">
      <c r="A74" s="120">
        <v>34</v>
      </c>
      <c r="B74" s="113" t="s">
        <v>436</v>
      </c>
      <c r="C74" s="1" t="s">
        <v>1283</v>
      </c>
      <c r="D74" s="13">
        <v>1858</v>
      </c>
      <c r="F74" s="113" t="s">
        <v>21</v>
      </c>
      <c r="G74" s="1"/>
      <c r="I74" s="1"/>
    </row>
    <row r="75" spans="1:9">
      <c r="D75" s="116"/>
      <c r="F75" s="113"/>
    </row>
    <row r="76" spans="1:9">
      <c r="A76" s="106" t="s">
        <v>2325</v>
      </c>
      <c r="D76" s="116">
        <f>D41+D42+D45+D46+D65+D66</f>
        <v>17185</v>
      </c>
      <c r="F76" s="113"/>
    </row>
    <row r="77" spans="1:9">
      <c r="A77" s="113" t="s">
        <v>437</v>
      </c>
      <c r="D77" s="115">
        <f>D43+D44+D47+D48+SUM(D50:D55)+D61+D62+D70</f>
        <v>30830</v>
      </c>
      <c r="F77" s="113"/>
    </row>
    <row r="78" spans="1:9">
      <c r="A78" s="113" t="s">
        <v>438</v>
      </c>
      <c r="D78" s="115">
        <f>D49+SUM(D56:D60)+D63+D64+SUM(D67:D69)+SUM(D71:D74)</f>
        <v>31754</v>
      </c>
    </row>
    <row r="79" spans="1:9">
      <c r="A79" s="113"/>
      <c r="B79" s="113"/>
    </row>
    <row r="80" spans="1:9">
      <c r="A80" s="113" t="s">
        <v>439</v>
      </c>
      <c r="B80" s="113"/>
    </row>
    <row r="81" spans="1:9">
      <c r="A81" s="113"/>
      <c r="B81" s="113"/>
      <c r="D81" s="121"/>
    </row>
    <row r="82" spans="1:9">
      <c r="A82" s="113"/>
      <c r="B82" s="113"/>
      <c r="D82" s="121"/>
    </row>
    <row r="83" spans="1:9">
      <c r="D83" s="10" t="s">
        <v>285</v>
      </c>
      <c r="F83" s="38" t="s">
        <v>1842</v>
      </c>
    </row>
    <row r="84" spans="1:9">
      <c r="D84" s="39">
        <v>2016</v>
      </c>
      <c r="E84" s="40"/>
      <c r="F84" s="41" t="s">
        <v>286</v>
      </c>
    </row>
    <row r="85" spans="1:9">
      <c r="A85" s="113" t="s">
        <v>440</v>
      </c>
      <c r="D85" s="115">
        <f>SUM(D86:D108)</f>
        <v>86874</v>
      </c>
      <c r="G85" s="1"/>
      <c r="I85" s="1"/>
    </row>
    <row r="86" spans="1:9">
      <c r="A86" s="120">
        <v>1</v>
      </c>
      <c r="B86" s="113" t="s">
        <v>1742</v>
      </c>
      <c r="C86" s="1" t="s">
        <v>1743</v>
      </c>
      <c r="D86" s="13">
        <v>3248</v>
      </c>
      <c r="F86" s="113" t="s">
        <v>21</v>
      </c>
      <c r="G86" s="1"/>
      <c r="I86" s="1"/>
    </row>
    <row r="87" spans="1:9">
      <c r="A87" s="120">
        <v>2</v>
      </c>
      <c r="B87" s="113" t="s">
        <v>441</v>
      </c>
      <c r="C87" s="1" t="s">
        <v>1744</v>
      </c>
      <c r="D87" s="13">
        <v>1750</v>
      </c>
      <c r="F87" s="113" t="s">
        <v>21</v>
      </c>
      <c r="G87" s="1"/>
      <c r="I87" s="1"/>
    </row>
    <row r="88" spans="1:9">
      <c r="A88" s="120">
        <v>3</v>
      </c>
      <c r="B88" s="113" t="s">
        <v>1745</v>
      </c>
      <c r="C88" s="1" t="s">
        <v>1746</v>
      </c>
      <c r="D88" s="13">
        <v>3401</v>
      </c>
      <c r="F88" s="113" t="s">
        <v>347</v>
      </c>
      <c r="G88" s="1"/>
      <c r="I88" s="1"/>
    </row>
    <row r="89" spans="1:9">
      <c r="A89" s="120">
        <v>4</v>
      </c>
      <c r="B89" s="113" t="s">
        <v>114</v>
      </c>
      <c r="C89" s="1" t="s">
        <v>1747</v>
      </c>
      <c r="D89" s="13">
        <v>2885</v>
      </c>
      <c r="F89" s="113" t="s">
        <v>347</v>
      </c>
      <c r="G89" s="1"/>
      <c r="I89" s="1"/>
    </row>
    <row r="90" spans="1:9">
      <c r="A90" s="120">
        <v>5</v>
      </c>
      <c r="B90" s="113" t="s">
        <v>1748</v>
      </c>
      <c r="C90" s="1" t="s">
        <v>1749</v>
      </c>
      <c r="D90" s="13">
        <v>4973</v>
      </c>
      <c r="F90" s="113" t="s">
        <v>347</v>
      </c>
      <c r="G90" s="1"/>
      <c r="I90" s="1"/>
    </row>
    <row r="91" spans="1:9">
      <c r="A91" s="120">
        <v>6</v>
      </c>
      <c r="B91" s="113" t="s">
        <v>115</v>
      </c>
      <c r="C91" s="1" t="s">
        <v>1750</v>
      </c>
      <c r="D91" s="13">
        <v>3566</v>
      </c>
      <c r="F91" s="113" t="s">
        <v>347</v>
      </c>
      <c r="G91" s="1"/>
      <c r="I91" s="1"/>
    </row>
    <row r="92" spans="1:9">
      <c r="A92" s="120">
        <v>7</v>
      </c>
      <c r="B92" s="113" t="s">
        <v>116</v>
      </c>
      <c r="C92" s="1" t="s">
        <v>1751</v>
      </c>
      <c r="D92" s="13">
        <v>3785</v>
      </c>
      <c r="F92" s="113" t="s">
        <v>347</v>
      </c>
      <c r="G92" s="1"/>
      <c r="I92" s="1"/>
    </row>
    <row r="93" spans="1:9">
      <c r="A93" s="120">
        <v>8</v>
      </c>
      <c r="B93" s="113" t="s">
        <v>1752</v>
      </c>
      <c r="C93" s="1" t="s">
        <v>1753</v>
      </c>
      <c r="D93" s="13">
        <v>3663</v>
      </c>
      <c r="F93" s="113" t="s">
        <v>347</v>
      </c>
      <c r="G93" s="1"/>
      <c r="I93" s="1"/>
    </row>
    <row r="94" spans="1:9">
      <c r="A94" s="120">
        <v>9</v>
      </c>
      <c r="B94" s="113" t="s">
        <v>1754</v>
      </c>
      <c r="C94" s="1" t="s">
        <v>1755</v>
      </c>
      <c r="D94" s="13">
        <v>3602</v>
      </c>
      <c r="F94" s="113" t="s">
        <v>347</v>
      </c>
      <c r="G94" s="1"/>
      <c r="I94" s="1"/>
    </row>
    <row r="95" spans="1:9">
      <c r="A95" s="120">
        <v>10</v>
      </c>
      <c r="B95" s="114" t="s">
        <v>1756</v>
      </c>
      <c r="C95" s="1" t="s">
        <v>1757</v>
      </c>
      <c r="D95" s="13">
        <v>5351</v>
      </c>
      <c r="F95" s="113" t="s">
        <v>21</v>
      </c>
      <c r="G95" s="1"/>
      <c r="I95" s="1"/>
    </row>
    <row r="96" spans="1:9">
      <c r="A96" s="120">
        <v>11</v>
      </c>
      <c r="B96" s="114" t="s">
        <v>117</v>
      </c>
      <c r="C96" s="1" t="s">
        <v>1758</v>
      </c>
      <c r="D96" s="13">
        <v>5030</v>
      </c>
      <c r="F96" s="113" t="s">
        <v>21</v>
      </c>
      <c r="G96" s="1"/>
      <c r="I96" s="1"/>
    </row>
    <row r="97" spans="1:9">
      <c r="A97" s="120">
        <v>12</v>
      </c>
      <c r="B97" s="113" t="s">
        <v>1759</v>
      </c>
      <c r="C97" s="1" t="s">
        <v>1760</v>
      </c>
      <c r="D97" s="13">
        <v>3529</v>
      </c>
      <c r="F97" s="113" t="s">
        <v>347</v>
      </c>
      <c r="G97" s="1"/>
      <c r="I97" s="1"/>
    </row>
    <row r="98" spans="1:9">
      <c r="A98" s="120">
        <v>13</v>
      </c>
      <c r="B98" s="113" t="s">
        <v>118</v>
      </c>
      <c r="C98" s="1" t="s">
        <v>1761</v>
      </c>
      <c r="D98" s="13">
        <v>5521</v>
      </c>
      <c r="F98" s="113" t="s">
        <v>21</v>
      </c>
      <c r="G98" s="1"/>
      <c r="I98" s="1"/>
    </row>
    <row r="99" spans="1:9">
      <c r="A99" s="120">
        <v>14</v>
      </c>
      <c r="B99" s="113" t="s">
        <v>1762</v>
      </c>
      <c r="C99" s="1" t="s">
        <v>1763</v>
      </c>
      <c r="D99" s="13">
        <v>1634</v>
      </c>
      <c r="F99" s="113" t="s">
        <v>347</v>
      </c>
      <c r="G99" s="1"/>
      <c r="I99" s="1"/>
    </row>
    <row r="100" spans="1:9">
      <c r="A100" s="120">
        <v>15</v>
      </c>
      <c r="B100" s="113" t="s">
        <v>1764</v>
      </c>
      <c r="C100" s="1" t="s">
        <v>1765</v>
      </c>
      <c r="D100" s="13">
        <v>5817</v>
      </c>
      <c r="F100" s="113" t="s">
        <v>21</v>
      </c>
      <c r="G100" s="1"/>
      <c r="I100" s="1"/>
    </row>
    <row r="101" spans="1:9">
      <c r="A101" s="120">
        <v>16</v>
      </c>
      <c r="B101" s="113" t="s">
        <v>316</v>
      </c>
      <c r="C101" s="1" t="s">
        <v>1766</v>
      </c>
      <c r="D101" s="13">
        <v>1760</v>
      </c>
      <c r="F101" s="113" t="s">
        <v>21</v>
      </c>
      <c r="G101" s="1"/>
      <c r="I101" s="1"/>
    </row>
    <row r="102" spans="1:9">
      <c r="A102" s="120">
        <v>17</v>
      </c>
      <c r="B102" s="113" t="s">
        <v>317</v>
      </c>
      <c r="C102" s="1" t="s">
        <v>1767</v>
      </c>
      <c r="D102" s="13">
        <v>4022</v>
      </c>
      <c r="F102" s="113" t="s">
        <v>347</v>
      </c>
      <c r="G102" s="1"/>
      <c r="I102" s="1"/>
    </row>
    <row r="103" spans="1:9">
      <c r="A103" s="120">
        <v>18</v>
      </c>
      <c r="B103" s="113" t="s">
        <v>318</v>
      </c>
      <c r="C103" s="1" t="s">
        <v>1768</v>
      </c>
      <c r="D103" s="13">
        <v>3951</v>
      </c>
      <c r="F103" s="113" t="s">
        <v>21</v>
      </c>
      <c r="G103" s="1"/>
      <c r="I103" s="1"/>
    </row>
    <row r="104" spans="1:9">
      <c r="A104" s="120">
        <v>19</v>
      </c>
      <c r="B104" s="113" t="s">
        <v>319</v>
      </c>
      <c r="C104" s="1" t="s">
        <v>1769</v>
      </c>
      <c r="D104" s="13">
        <v>6373</v>
      </c>
      <c r="F104" s="113" t="s">
        <v>347</v>
      </c>
      <c r="G104" s="1"/>
      <c r="I104" s="1"/>
    </row>
    <row r="105" spans="1:9">
      <c r="A105" s="120">
        <v>20</v>
      </c>
      <c r="B105" s="113" t="s">
        <v>1770</v>
      </c>
      <c r="C105" s="1" t="s">
        <v>1771</v>
      </c>
      <c r="D105" s="13">
        <v>3766</v>
      </c>
      <c r="F105" s="113" t="s">
        <v>21</v>
      </c>
      <c r="G105" s="1"/>
      <c r="I105" s="1"/>
    </row>
    <row r="106" spans="1:9">
      <c r="A106" s="120">
        <v>21</v>
      </c>
      <c r="B106" s="113" t="s">
        <v>1772</v>
      </c>
      <c r="C106" s="1" t="s">
        <v>1773</v>
      </c>
      <c r="D106" s="13">
        <v>3614</v>
      </c>
      <c r="F106" s="113" t="s">
        <v>347</v>
      </c>
      <c r="G106" s="1"/>
      <c r="I106" s="1"/>
    </row>
    <row r="107" spans="1:9">
      <c r="A107" s="120">
        <v>22</v>
      </c>
      <c r="B107" s="113" t="s">
        <v>551</v>
      </c>
      <c r="C107" s="1" t="s">
        <v>1774</v>
      </c>
      <c r="D107" s="13">
        <v>3721</v>
      </c>
      <c r="F107" s="113" t="s">
        <v>21</v>
      </c>
      <c r="G107" s="1"/>
      <c r="I107" s="1"/>
    </row>
    <row r="108" spans="1:9">
      <c r="A108" s="120">
        <v>23</v>
      </c>
      <c r="B108" s="113" t="s">
        <v>1775</v>
      </c>
      <c r="C108" s="1" t="s">
        <v>1776</v>
      </c>
      <c r="D108" s="13">
        <v>1912</v>
      </c>
      <c r="F108" s="113" t="s">
        <v>347</v>
      </c>
      <c r="G108" s="1"/>
      <c r="I108" s="1"/>
    </row>
    <row r="109" spans="1:9">
      <c r="A109" s="120"/>
      <c r="B109" s="113"/>
      <c r="C109" s="1"/>
      <c r="D109" s="116"/>
      <c r="F109" s="113"/>
      <c r="G109" s="1"/>
      <c r="I109" s="1"/>
    </row>
    <row r="110" spans="1:9">
      <c r="A110" s="113" t="s">
        <v>552</v>
      </c>
      <c r="D110" s="115">
        <f>SUM(D88:D94)+D97+D99+D102+D104+D106+D108</f>
        <v>46959</v>
      </c>
      <c r="E110" s="115"/>
    </row>
    <row r="111" spans="1:9">
      <c r="A111" s="113" t="s">
        <v>438</v>
      </c>
      <c r="D111" s="115">
        <f>D86+D87+D95+D96+D98+D100+D101+D103+D105+D107</f>
        <v>39915</v>
      </c>
      <c r="E111" s="115"/>
    </row>
    <row r="112" spans="1:9">
      <c r="A112" s="113"/>
      <c r="B112" s="113"/>
      <c r="D112" s="121"/>
    </row>
    <row r="113" spans="1:9">
      <c r="A113" s="113" t="s">
        <v>553</v>
      </c>
      <c r="B113" s="113"/>
      <c r="D113" s="121"/>
    </row>
    <row r="114" spans="1:9">
      <c r="A114" s="113"/>
      <c r="B114" s="113"/>
      <c r="D114" s="121"/>
    </row>
    <row r="115" spans="1:9">
      <c r="A115" s="113"/>
      <c r="B115" s="113"/>
      <c r="D115" s="121"/>
    </row>
    <row r="116" spans="1:9">
      <c r="D116" s="10" t="s">
        <v>285</v>
      </c>
      <c r="F116" s="38" t="s">
        <v>1842</v>
      </c>
    </row>
    <row r="117" spans="1:9">
      <c r="D117" s="39">
        <v>2016</v>
      </c>
      <c r="E117" s="40"/>
      <c r="F117" s="41" t="s">
        <v>286</v>
      </c>
    </row>
    <row r="118" spans="1:9">
      <c r="A118" s="113" t="s">
        <v>554</v>
      </c>
      <c r="D118" s="115">
        <f>SUM(D119:D157)</f>
        <v>117938</v>
      </c>
    </row>
    <row r="119" spans="1:9">
      <c r="A119" s="120">
        <v>1</v>
      </c>
      <c r="B119" s="113" t="s">
        <v>555</v>
      </c>
      <c r="C119" s="1" t="s">
        <v>1284</v>
      </c>
      <c r="D119" s="13">
        <v>1846</v>
      </c>
      <c r="F119" s="113" t="s">
        <v>22</v>
      </c>
      <c r="G119" s="1"/>
      <c r="I119" s="1"/>
    </row>
    <row r="120" spans="1:9">
      <c r="A120" s="120">
        <v>2</v>
      </c>
      <c r="B120" s="113" t="s">
        <v>556</v>
      </c>
      <c r="C120" s="1" t="s">
        <v>1285</v>
      </c>
      <c r="D120" s="13">
        <v>4169</v>
      </c>
      <c r="F120" s="113" t="s">
        <v>17</v>
      </c>
      <c r="G120" s="1"/>
      <c r="I120" s="1"/>
    </row>
    <row r="121" spans="1:9">
      <c r="A121" s="120">
        <v>3</v>
      </c>
      <c r="B121" s="113" t="s">
        <v>557</v>
      </c>
      <c r="C121" s="1" t="s">
        <v>1286</v>
      </c>
      <c r="D121" s="13">
        <v>1863</v>
      </c>
      <c r="F121" s="113" t="s">
        <v>17</v>
      </c>
      <c r="G121" s="1"/>
      <c r="I121" s="1"/>
    </row>
    <row r="122" spans="1:9">
      <c r="A122" s="120">
        <v>4</v>
      </c>
      <c r="B122" s="113" t="s">
        <v>558</v>
      </c>
      <c r="C122" s="1" t="s">
        <v>1287</v>
      </c>
      <c r="D122" s="13">
        <v>4822</v>
      </c>
      <c r="F122" s="113" t="s">
        <v>22</v>
      </c>
      <c r="G122" s="1"/>
      <c r="I122" s="1"/>
    </row>
    <row r="123" spans="1:9">
      <c r="A123" s="120">
        <v>5</v>
      </c>
      <c r="B123" s="113" t="s">
        <v>559</v>
      </c>
      <c r="C123" s="1" t="s">
        <v>1288</v>
      </c>
      <c r="D123" s="13">
        <v>1783</v>
      </c>
      <c r="F123" s="113" t="s">
        <v>17</v>
      </c>
      <c r="G123" s="1"/>
      <c r="I123" s="1"/>
    </row>
    <row r="124" spans="1:9">
      <c r="A124" s="120">
        <v>6</v>
      </c>
      <c r="B124" s="113" t="s">
        <v>560</v>
      </c>
      <c r="C124" s="1" t="s">
        <v>1289</v>
      </c>
      <c r="D124" s="13">
        <v>2042</v>
      </c>
      <c r="F124" s="113" t="s">
        <v>17</v>
      </c>
      <c r="G124" s="1"/>
      <c r="I124" s="1"/>
    </row>
    <row r="125" spans="1:9">
      <c r="A125" s="120">
        <v>7</v>
      </c>
      <c r="B125" s="113" t="s">
        <v>561</v>
      </c>
      <c r="C125" s="1" t="s">
        <v>1290</v>
      </c>
      <c r="D125" s="13">
        <v>4276</v>
      </c>
      <c r="F125" s="113" t="s">
        <v>17</v>
      </c>
      <c r="G125" s="1"/>
      <c r="I125" s="1"/>
    </row>
    <row r="126" spans="1:9">
      <c r="A126" s="120">
        <v>8</v>
      </c>
      <c r="B126" s="113" t="s">
        <v>562</v>
      </c>
      <c r="C126" s="1" t="s">
        <v>1291</v>
      </c>
      <c r="D126" s="13">
        <v>1806</v>
      </c>
      <c r="F126" s="113" t="s">
        <v>22</v>
      </c>
      <c r="G126" s="1"/>
      <c r="I126" s="1"/>
    </row>
    <row r="127" spans="1:9">
      <c r="A127" s="120">
        <v>9</v>
      </c>
      <c r="B127" s="113" t="s">
        <v>563</v>
      </c>
      <c r="C127" s="1" t="s">
        <v>1292</v>
      </c>
      <c r="D127" s="13">
        <v>1590</v>
      </c>
      <c r="F127" s="113" t="s">
        <v>22</v>
      </c>
      <c r="G127" s="1"/>
      <c r="I127" s="1"/>
    </row>
    <row r="128" spans="1:9">
      <c r="A128" s="120">
        <v>10</v>
      </c>
      <c r="B128" s="113" t="s">
        <v>564</v>
      </c>
      <c r="C128" s="1" t="s">
        <v>1293</v>
      </c>
      <c r="D128" s="13">
        <v>1847</v>
      </c>
      <c r="F128" s="113" t="s">
        <v>22</v>
      </c>
      <c r="G128" s="1"/>
      <c r="I128" s="1"/>
    </row>
    <row r="129" spans="1:9">
      <c r="A129" s="120">
        <v>11</v>
      </c>
      <c r="B129" s="113" t="s">
        <v>565</v>
      </c>
      <c r="C129" s="1" t="s">
        <v>1294</v>
      </c>
      <c r="D129" s="13">
        <v>2052</v>
      </c>
      <c r="F129" s="113" t="s">
        <v>22</v>
      </c>
      <c r="G129" s="1"/>
      <c r="I129" s="1"/>
    </row>
    <row r="130" spans="1:9">
      <c r="A130" s="120">
        <v>12</v>
      </c>
      <c r="B130" s="113" t="s">
        <v>566</v>
      </c>
      <c r="C130" s="1" t="s">
        <v>1295</v>
      </c>
      <c r="D130" s="13">
        <v>1812</v>
      </c>
      <c r="F130" s="113" t="s">
        <v>22</v>
      </c>
      <c r="G130" s="1"/>
      <c r="I130" s="1"/>
    </row>
    <row r="131" spans="1:9">
      <c r="A131" s="120">
        <v>13</v>
      </c>
      <c r="B131" s="113" t="s">
        <v>567</v>
      </c>
      <c r="C131" s="1" t="s">
        <v>1296</v>
      </c>
      <c r="D131" s="13">
        <v>4098</v>
      </c>
      <c r="F131" s="113" t="s">
        <v>22</v>
      </c>
      <c r="G131" s="1"/>
      <c r="I131" s="1"/>
    </row>
    <row r="132" spans="1:9">
      <c r="A132" s="120">
        <v>14</v>
      </c>
      <c r="B132" s="113" t="s">
        <v>568</v>
      </c>
      <c r="C132" s="1" t="s">
        <v>1297</v>
      </c>
      <c r="D132" s="13">
        <v>6092</v>
      </c>
      <c r="F132" s="113" t="s">
        <v>22</v>
      </c>
      <c r="G132" s="1"/>
      <c r="I132" s="1"/>
    </row>
    <row r="133" spans="1:9">
      <c r="A133" s="120">
        <v>15</v>
      </c>
      <c r="B133" s="113" t="s">
        <v>569</v>
      </c>
      <c r="C133" s="1" t="s">
        <v>1298</v>
      </c>
      <c r="D133" s="13">
        <v>2031</v>
      </c>
      <c r="F133" s="113" t="s">
        <v>17</v>
      </c>
      <c r="G133" s="1"/>
      <c r="I133" s="1"/>
    </row>
    <row r="134" spans="1:9">
      <c r="A134" s="120">
        <v>16</v>
      </c>
      <c r="B134" s="113" t="s">
        <v>570</v>
      </c>
      <c r="C134" s="1" t="s">
        <v>1299</v>
      </c>
      <c r="D134" s="13">
        <v>1911</v>
      </c>
      <c r="F134" s="113" t="s">
        <v>22</v>
      </c>
      <c r="G134" s="1"/>
      <c r="I134" s="1"/>
    </row>
    <row r="135" spans="1:9">
      <c r="A135" s="120">
        <v>17</v>
      </c>
      <c r="B135" s="113" t="s">
        <v>571</v>
      </c>
      <c r="C135" s="1" t="s">
        <v>1300</v>
      </c>
      <c r="D135" s="13">
        <v>2040</v>
      </c>
      <c r="F135" s="113" t="s">
        <v>22</v>
      </c>
      <c r="G135" s="1"/>
      <c r="I135" s="1"/>
    </row>
    <row r="136" spans="1:9">
      <c r="A136" s="120">
        <v>18</v>
      </c>
      <c r="B136" s="113" t="s">
        <v>572</v>
      </c>
      <c r="C136" s="1" t="s">
        <v>1301</v>
      </c>
      <c r="D136" s="13">
        <v>4404</v>
      </c>
      <c r="F136" s="113" t="s">
        <v>22</v>
      </c>
      <c r="G136" s="1"/>
      <c r="I136" s="1"/>
    </row>
    <row r="137" spans="1:9">
      <c r="A137" s="120">
        <v>19</v>
      </c>
      <c r="B137" s="113" t="s">
        <v>573</v>
      </c>
      <c r="C137" s="1" t="s">
        <v>1302</v>
      </c>
      <c r="D137" s="13">
        <v>2157</v>
      </c>
      <c r="F137" s="113" t="s">
        <v>17</v>
      </c>
      <c r="G137" s="1"/>
      <c r="I137" s="1"/>
    </row>
    <row r="138" spans="1:9">
      <c r="A138" s="120">
        <v>20</v>
      </c>
      <c r="B138" s="113" t="s">
        <v>574</v>
      </c>
      <c r="C138" s="1" t="s">
        <v>1303</v>
      </c>
      <c r="D138" s="13">
        <v>2275</v>
      </c>
      <c r="F138" s="113" t="s">
        <v>22</v>
      </c>
      <c r="G138" s="1"/>
      <c r="I138" s="1"/>
    </row>
    <row r="139" spans="1:9">
      <c r="A139" s="120">
        <v>21</v>
      </c>
      <c r="B139" s="113" t="s">
        <v>575</v>
      </c>
      <c r="C139" s="1" t="s">
        <v>1304</v>
      </c>
      <c r="D139" s="13">
        <v>2253</v>
      </c>
      <c r="F139" s="113" t="s">
        <v>17</v>
      </c>
      <c r="G139" s="1"/>
      <c r="I139" s="1"/>
    </row>
    <row r="140" spans="1:9">
      <c r="A140" s="120">
        <v>22</v>
      </c>
      <c r="B140" s="113" t="s">
        <v>576</v>
      </c>
      <c r="C140" s="1" t="s">
        <v>1305</v>
      </c>
      <c r="D140" s="13">
        <v>4332</v>
      </c>
      <c r="F140" s="113" t="s">
        <v>17</v>
      </c>
      <c r="G140" s="1"/>
      <c r="I140" s="1"/>
    </row>
    <row r="141" spans="1:9">
      <c r="A141" s="120">
        <v>23</v>
      </c>
      <c r="B141" s="113" t="s">
        <v>577</v>
      </c>
      <c r="C141" s="1" t="s">
        <v>1306</v>
      </c>
      <c r="D141" s="13">
        <v>2188</v>
      </c>
      <c r="F141" s="113" t="s">
        <v>17</v>
      </c>
      <c r="G141" s="1"/>
      <c r="I141" s="1"/>
    </row>
    <row r="142" spans="1:9">
      <c r="A142" s="120" t="s">
        <v>721</v>
      </c>
      <c r="B142" s="113" t="s">
        <v>578</v>
      </c>
      <c r="C142" s="1" t="s">
        <v>1307</v>
      </c>
      <c r="D142" s="13">
        <v>1975</v>
      </c>
      <c r="F142" s="113" t="s">
        <v>22</v>
      </c>
      <c r="G142" s="1"/>
      <c r="I142" s="1"/>
    </row>
    <row r="143" spans="1:9">
      <c r="A143" s="120" t="s">
        <v>722</v>
      </c>
      <c r="B143" s="113" t="s">
        <v>579</v>
      </c>
      <c r="C143" s="1" t="s">
        <v>1308</v>
      </c>
      <c r="D143" s="13">
        <v>2339</v>
      </c>
      <c r="F143" s="113" t="s">
        <v>17</v>
      </c>
      <c r="G143" s="1"/>
      <c r="I143" s="1"/>
    </row>
    <row r="144" spans="1:9">
      <c r="A144" s="120" t="s">
        <v>723</v>
      </c>
      <c r="B144" s="113" t="s">
        <v>580</v>
      </c>
      <c r="C144" s="1" t="s">
        <v>1309</v>
      </c>
      <c r="D144" s="13">
        <v>1855</v>
      </c>
      <c r="F144" s="113" t="s">
        <v>22</v>
      </c>
      <c r="G144" s="1"/>
      <c r="I144" s="1"/>
    </row>
    <row r="145" spans="1:9">
      <c r="A145" s="120" t="s">
        <v>733</v>
      </c>
      <c r="B145" s="113" t="s">
        <v>1074</v>
      </c>
      <c r="C145" s="1" t="s">
        <v>1310</v>
      </c>
      <c r="D145" s="13">
        <v>1754</v>
      </c>
      <c r="F145" s="113" t="s">
        <v>22</v>
      </c>
      <c r="G145" s="1"/>
      <c r="I145" s="1"/>
    </row>
    <row r="146" spans="1:9">
      <c r="A146" s="120" t="s">
        <v>734</v>
      </c>
      <c r="B146" s="113" t="s">
        <v>581</v>
      </c>
      <c r="C146" s="1" t="s">
        <v>1311</v>
      </c>
      <c r="D146" s="13">
        <v>3898</v>
      </c>
      <c r="F146" s="113" t="s">
        <v>22</v>
      </c>
      <c r="G146" s="1"/>
      <c r="I146" s="1"/>
    </row>
    <row r="147" spans="1:9">
      <c r="A147" s="120" t="s">
        <v>735</v>
      </c>
      <c r="B147" s="113" t="s">
        <v>582</v>
      </c>
      <c r="C147" s="1" t="s">
        <v>1312</v>
      </c>
      <c r="D147" s="13">
        <v>2083</v>
      </c>
      <c r="F147" s="113" t="s">
        <v>22</v>
      </c>
      <c r="G147" s="1"/>
      <c r="I147" s="1"/>
    </row>
    <row r="148" spans="1:9">
      <c r="A148" s="120" t="s">
        <v>736</v>
      </c>
      <c r="B148" s="113" t="s">
        <v>55</v>
      </c>
      <c r="C148" s="1" t="s">
        <v>1313</v>
      </c>
      <c r="D148" s="13">
        <v>1853</v>
      </c>
      <c r="F148" s="113" t="s">
        <v>17</v>
      </c>
      <c r="G148" s="1"/>
      <c r="I148" s="1"/>
    </row>
    <row r="149" spans="1:9">
      <c r="A149" s="120" t="s">
        <v>931</v>
      </c>
      <c r="B149" s="113" t="s">
        <v>583</v>
      </c>
      <c r="C149" s="1" t="s">
        <v>1314</v>
      </c>
      <c r="D149" s="13">
        <v>2244</v>
      </c>
      <c r="F149" s="113" t="s">
        <v>17</v>
      </c>
      <c r="G149" s="1"/>
      <c r="I149" s="1"/>
    </row>
    <row r="150" spans="1:9">
      <c r="A150" s="120" t="s">
        <v>932</v>
      </c>
      <c r="B150" s="113" t="s">
        <v>584</v>
      </c>
      <c r="C150" s="1" t="s">
        <v>1315</v>
      </c>
      <c r="D150" s="13">
        <v>4089</v>
      </c>
      <c r="F150" s="113" t="s">
        <v>17</v>
      </c>
      <c r="G150" s="1"/>
      <c r="I150" s="1"/>
    </row>
    <row r="151" spans="1:9">
      <c r="A151" s="120" t="s">
        <v>933</v>
      </c>
      <c r="B151" s="113" t="s">
        <v>585</v>
      </c>
      <c r="C151" s="1" t="s">
        <v>1316</v>
      </c>
      <c r="D151" s="13">
        <v>3968</v>
      </c>
      <c r="F151" s="113" t="s">
        <v>17</v>
      </c>
      <c r="G151" s="1"/>
      <c r="I151" s="1"/>
    </row>
    <row r="152" spans="1:9">
      <c r="A152" s="120" t="s">
        <v>934</v>
      </c>
      <c r="B152" s="113" t="s">
        <v>586</v>
      </c>
      <c r="C152" s="1" t="s">
        <v>1317</v>
      </c>
      <c r="D152" s="13">
        <v>1830</v>
      </c>
      <c r="F152" s="113" t="s">
        <v>22</v>
      </c>
      <c r="G152" s="1"/>
      <c r="I152" s="1"/>
    </row>
    <row r="153" spans="1:9">
      <c r="A153" s="120" t="s">
        <v>376</v>
      </c>
      <c r="B153" s="113" t="s">
        <v>587</v>
      </c>
      <c r="C153" s="1" t="s">
        <v>1318</v>
      </c>
      <c r="D153" s="13">
        <v>4785</v>
      </c>
      <c r="F153" s="113" t="s">
        <v>22</v>
      </c>
      <c r="G153" s="1"/>
      <c r="I153" s="1"/>
    </row>
    <row r="154" spans="1:9">
      <c r="A154" s="120" t="s">
        <v>377</v>
      </c>
      <c r="B154" s="113" t="s">
        <v>348</v>
      </c>
      <c r="C154" s="1" t="s">
        <v>1319</v>
      </c>
      <c r="D154" s="13">
        <v>4656</v>
      </c>
      <c r="F154" s="113" t="s">
        <v>22</v>
      </c>
      <c r="G154" s="1"/>
      <c r="I154" s="1"/>
    </row>
    <row r="155" spans="1:9">
      <c r="A155" s="120" t="s">
        <v>338</v>
      </c>
      <c r="B155" s="113" t="s">
        <v>349</v>
      </c>
      <c r="C155" s="1" t="s">
        <v>1320</v>
      </c>
      <c r="D155" s="13">
        <v>6159</v>
      </c>
      <c r="F155" s="113" t="s">
        <v>22</v>
      </c>
      <c r="G155" s="1"/>
      <c r="I155" s="1"/>
    </row>
    <row r="156" spans="1:9">
      <c r="A156" s="120" t="s">
        <v>339</v>
      </c>
      <c r="B156" s="113" t="s">
        <v>350</v>
      </c>
      <c r="C156" s="1" t="s">
        <v>1321</v>
      </c>
      <c r="D156" s="13">
        <v>4910</v>
      </c>
      <c r="F156" s="113" t="s">
        <v>22</v>
      </c>
      <c r="G156" s="1"/>
      <c r="I156" s="1"/>
    </row>
    <row r="157" spans="1:9">
      <c r="A157" s="120" t="s">
        <v>340</v>
      </c>
      <c r="B157" s="113" t="s">
        <v>56</v>
      </c>
      <c r="C157" s="1" t="s">
        <v>1322</v>
      </c>
      <c r="D157" s="13">
        <v>5851</v>
      </c>
      <c r="F157" s="113" t="s">
        <v>22</v>
      </c>
      <c r="G157" s="1"/>
      <c r="I157" s="1"/>
    </row>
    <row r="158" spans="1:9">
      <c r="D158" s="116"/>
    </row>
    <row r="159" spans="1:9">
      <c r="A159" s="113" t="s">
        <v>437</v>
      </c>
      <c r="D159" s="115">
        <f>D120+D121+SUM(D123:D125)+D133+D137+SUM(D139:D141)+D143+SUM(D148:D151)</f>
        <v>41587</v>
      </c>
    </row>
    <row r="160" spans="1:9">
      <c r="A160" s="113" t="s">
        <v>22</v>
      </c>
      <c r="D160" s="115">
        <f>D119+D122+SUM(D126:D132)+SUM(D134:D136)+D138+D142+SUM(D144:D147)+SUM(D152:D157)</f>
        <v>76351</v>
      </c>
    </row>
    <row r="161" spans="1:9">
      <c r="A161" s="113"/>
      <c r="B161" s="113"/>
      <c r="D161" s="121"/>
    </row>
    <row r="162" spans="1:9">
      <c r="A162" s="113" t="s">
        <v>57</v>
      </c>
      <c r="B162" s="113"/>
      <c r="D162" s="121"/>
    </row>
    <row r="163" spans="1:9">
      <c r="A163" s="113"/>
      <c r="B163" s="113"/>
      <c r="D163" s="121"/>
    </row>
    <row r="164" spans="1:9">
      <c r="A164" s="113"/>
      <c r="B164" s="113"/>
      <c r="D164" s="121"/>
    </row>
    <row r="165" spans="1:9">
      <c r="D165" s="10" t="s">
        <v>285</v>
      </c>
      <c r="F165" s="38" t="s">
        <v>1842</v>
      </c>
    </row>
    <row r="166" spans="1:9">
      <c r="D166" s="39">
        <v>2016</v>
      </c>
      <c r="E166" s="40"/>
      <c r="F166" s="41" t="s">
        <v>286</v>
      </c>
    </row>
    <row r="167" spans="1:9">
      <c r="A167" s="113" t="s">
        <v>58</v>
      </c>
      <c r="D167" s="115">
        <f>SUM(D168:D193)</f>
        <v>78187</v>
      </c>
    </row>
    <row r="168" spans="1:9">
      <c r="A168" s="120">
        <v>1</v>
      </c>
      <c r="B168" s="113" t="s">
        <v>59</v>
      </c>
      <c r="C168" s="1" t="s">
        <v>1323</v>
      </c>
      <c r="D168" s="7">
        <v>3142</v>
      </c>
      <c r="F168" s="113" t="s">
        <v>20</v>
      </c>
      <c r="G168" s="1"/>
      <c r="I168" s="1"/>
    </row>
    <row r="169" spans="1:9">
      <c r="A169" s="120">
        <v>2</v>
      </c>
      <c r="B169" s="113" t="s">
        <v>60</v>
      </c>
      <c r="C169" s="1" t="s">
        <v>1324</v>
      </c>
      <c r="D169" s="7">
        <v>4505</v>
      </c>
      <c r="F169" s="113" t="s">
        <v>20</v>
      </c>
      <c r="G169" s="1"/>
      <c r="I169" s="1"/>
    </row>
    <row r="170" spans="1:9">
      <c r="A170" s="120">
        <v>3</v>
      </c>
      <c r="B170" s="113" t="s">
        <v>555</v>
      </c>
      <c r="C170" s="1" t="s">
        <v>1325</v>
      </c>
      <c r="D170" s="7">
        <v>1747</v>
      </c>
      <c r="F170" s="113" t="s">
        <v>20</v>
      </c>
      <c r="G170" s="1"/>
      <c r="I170" s="1"/>
    </row>
    <row r="171" spans="1:9">
      <c r="A171" s="120">
        <v>4</v>
      </c>
      <c r="B171" s="113" t="s">
        <v>61</v>
      </c>
      <c r="C171" s="1" t="s">
        <v>1326</v>
      </c>
      <c r="D171" s="7">
        <v>1819</v>
      </c>
      <c r="F171" s="113" t="s">
        <v>20</v>
      </c>
      <c r="G171" s="1"/>
      <c r="I171" s="1"/>
    </row>
    <row r="172" spans="1:9">
      <c r="A172" s="120">
        <v>5</v>
      </c>
      <c r="B172" s="113" t="s">
        <v>62</v>
      </c>
      <c r="C172" s="1" t="s">
        <v>1327</v>
      </c>
      <c r="D172" s="7">
        <v>4180</v>
      </c>
      <c r="F172" s="113" t="s">
        <v>20</v>
      </c>
      <c r="G172" s="1"/>
      <c r="I172" s="1"/>
    </row>
    <row r="173" spans="1:9">
      <c r="A173" s="120">
        <v>6</v>
      </c>
      <c r="B173" s="113" t="s">
        <v>63</v>
      </c>
      <c r="C173" s="1" t="s">
        <v>1328</v>
      </c>
      <c r="D173" s="7">
        <v>1635</v>
      </c>
      <c r="F173" s="113" t="s">
        <v>20</v>
      </c>
      <c r="G173" s="1"/>
      <c r="I173" s="1"/>
    </row>
    <row r="174" spans="1:9">
      <c r="A174" s="120">
        <v>7</v>
      </c>
      <c r="B174" s="113" t="s">
        <v>64</v>
      </c>
      <c r="C174" s="1" t="s">
        <v>1329</v>
      </c>
      <c r="D174" s="7">
        <v>1695</v>
      </c>
      <c r="F174" s="113" t="s">
        <v>20</v>
      </c>
      <c r="G174" s="1"/>
      <c r="I174" s="1"/>
    </row>
    <row r="175" spans="1:9">
      <c r="A175" s="120">
        <v>8</v>
      </c>
      <c r="B175" s="113" t="s">
        <v>578</v>
      </c>
      <c r="C175" s="1" t="s">
        <v>1330</v>
      </c>
      <c r="D175" s="7">
        <v>1779</v>
      </c>
      <c r="F175" s="113" t="s">
        <v>20</v>
      </c>
      <c r="G175" s="1"/>
      <c r="I175" s="1"/>
    </row>
    <row r="176" spans="1:9">
      <c r="A176" s="120">
        <v>9</v>
      </c>
      <c r="B176" s="113" t="s">
        <v>65</v>
      </c>
      <c r="C176" s="1" t="s">
        <v>1331</v>
      </c>
      <c r="D176" s="8">
        <v>2411</v>
      </c>
      <c r="F176" s="113" t="s">
        <v>20</v>
      </c>
      <c r="G176" s="1"/>
      <c r="I176" s="1"/>
    </row>
    <row r="177" spans="1:9">
      <c r="A177" s="120">
        <v>10</v>
      </c>
      <c r="B177" s="113" t="s">
        <v>66</v>
      </c>
      <c r="C177" s="1" t="s">
        <v>1332</v>
      </c>
      <c r="D177" s="8">
        <v>2061</v>
      </c>
      <c r="F177" s="113" t="s">
        <v>20</v>
      </c>
      <c r="G177" s="1"/>
      <c r="I177" s="1"/>
    </row>
    <row r="178" spans="1:9">
      <c r="A178" s="120">
        <v>11</v>
      </c>
      <c r="B178" s="113" t="s">
        <v>354</v>
      </c>
      <c r="C178" s="1" t="s">
        <v>1333</v>
      </c>
      <c r="D178" s="8">
        <v>3169</v>
      </c>
      <c r="F178" s="113" t="s">
        <v>20</v>
      </c>
      <c r="G178" s="1"/>
      <c r="I178" s="1"/>
    </row>
    <row r="179" spans="1:9">
      <c r="A179" s="120">
        <v>12</v>
      </c>
      <c r="B179" s="113" t="s">
        <v>355</v>
      </c>
      <c r="C179" s="1" t="s">
        <v>1334</v>
      </c>
      <c r="D179" s="8">
        <v>2960</v>
      </c>
      <c r="F179" s="113" t="s">
        <v>20</v>
      </c>
      <c r="G179" s="1"/>
      <c r="I179" s="1"/>
    </row>
    <row r="180" spans="1:9">
      <c r="A180" s="120">
        <v>13</v>
      </c>
      <c r="B180" s="113" t="s">
        <v>356</v>
      </c>
      <c r="C180" s="1" t="s">
        <v>1335</v>
      </c>
      <c r="D180" s="7">
        <v>4185</v>
      </c>
      <c r="F180" s="113" t="s">
        <v>20</v>
      </c>
      <c r="G180" s="1"/>
      <c r="I180" s="1"/>
    </row>
    <row r="181" spans="1:9">
      <c r="A181" s="120">
        <v>14</v>
      </c>
      <c r="B181" s="113" t="s">
        <v>357</v>
      </c>
      <c r="C181" s="1" t="s">
        <v>1336</v>
      </c>
      <c r="D181" s="7">
        <v>2503</v>
      </c>
      <c r="F181" s="113" t="s">
        <v>20</v>
      </c>
      <c r="G181" s="1"/>
      <c r="I181" s="1"/>
    </row>
    <row r="182" spans="1:9">
      <c r="A182" s="120">
        <v>15</v>
      </c>
      <c r="B182" s="113" t="s">
        <v>596</v>
      </c>
      <c r="C182" s="1" t="s">
        <v>1337</v>
      </c>
      <c r="D182" s="7">
        <v>3952</v>
      </c>
      <c r="F182" s="113" t="s">
        <v>20</v>
      </c>
      <c r="G182" s="1"/>
      <c r="I182" s="1"/>
    </row>
    <row r="183" spans="1:9">
      <c r="A183" s="120">
        <v>16</v>
      </c>
      <c r="B183" s="113" t="s">
        <v>597</v>
      </c>
      <c r="C183" s="1" t="s">
        <v>1338</v>
      </c>
      <c r="D183" s="7">
        <v>3745</v>
      </c>
      <c r="F183" s="113" t="s">
        <v>20</v>
      </c>
      <c r="G183" s="1"/>
      <c r="I183" s="1"/>
    </row>
    <row r="184" spans="1:9">
      <c r="A184" s="120">
        <v>17</v>
      </c>
      <c r="B184" s="113" t="s">
        <v>598</v>
      </c>
      <c r="C184" s="1" t="s">
        <v>1339</v>
      </c>
      <c r="D184" s="7">
        <v>2854</v>
      </c>
      <c r="F184" s="113" t="s">
        <v>20</v>
      </c>
      <c r="G184" s="1"/>
      <c r="I184" s="1"/>
    </row>
    <row r="185" spans="1:9">
      <c r="A185" s="120">
        <v>18</v>
      </c>
      <c r="B185" s="113" t="s">
        <v>599</v>
      </c>
      <c r="C185" s="1" t="s">
        <v>1340</v>
      </c>
      <c r="D185" s="7">
        <v>3650</v>
      </c>
      <c r="F185" s="113" t="s">
        <v>20</v>
      </c>
      <c r="G185" s="1"/>
      <c r="I185" s="1"/>
    </row>
    <row r="186" spans="1:9">
      <c r="A186" s="120">
        <v>19</v>
      </c>
      <c r="B186" s="113" t="s">
        <v>600</v>
      </c>
      <c r="C186" s="1" t="s">
        <v>1341</v>
      </c>
      <c r="D186" s="7">
        <v>3933</v>
      </c>
      <c r="F186" s="113" t="s">
        <v>20</v>
      </c>
      <c r="G186" s="1"/>
      <c r="I186" s="1"/>
    </row>
    <row r="187" spans="1:9">
      <c r="A187" s="120">
        <v>20</v>
      </c>
      <c r="B187" s="113" t="s">
        <v>351</v>
      </c>
      <c r="C187" s="1" t="s">
        <v>1342</v>
      </c>
      <c r="D187" s="8">
        <v>4171</v>
      </c>
      <c r="F187" s="113" t="s">
        <v>20</v>
      </c>
      <c r="G187" s="1"/>
      <c r="I187" s="1"/>
    </row>
    <row r="188" spans="1:9">
      <c r="A188" s="120">
        <v>21</v>
      </c>
      <c r="B188" s="113" t="s">
        <v>320</v>
      </c>
      <c r="C188" s="1" t="s">
        <v>1343</v>
      </c>
      <c r="D188" s="8">
        <v>1511</v>
      </c>
      <c r="F188" s="113" t="s">
        <v>20</v>
      </c>
      <c r="G188" s="1"/>
      <c r="I188" s="1"/>
    </row>
    <row r="189" spans="1:9">
      <c r="A189" s="120">
        <v>22</v>
      </c>
      <c r="B189" s="113" t="s">
        <v>321</v>
      </c>
      <c r="C189" s="1" t="s">
        <v>1344</v>
      </c>
      <c r="D189" s="8">
        <v>2894</v>
      </c>
      <c r="F189" s="113" t="s">
        <v>20</v>
      </c>
      <c r="G189" s="1"/>
      <c r="I189" s="1"/>
    </row>
    <row r="190" spans="1:9">
      <c r="A190" s="120">
        <v>23</v>
      </c>
      <c r="B190" s="113" t="s">
        <v>322</v>
      </c>
      <c r="C190" s="1" t="s">
        <v>1345</v>
      </c>
      <c r="D190" s="8">
        <v>2753</v>
      </c>
      <c r="F190" s="113" t="s">
        <v>20</v>
      </c>
      <c r="G190" s="1"/>
      <c r="I190" s="1"/>
    </row>
    <row r="191" spans="1:9">
      <c r="A191" s="120">
        <v>24</v>
      </c>
      <c r="B191" s="113" t="s">
        <v>323</v>
      </c>
      <c r="C191" s="1" t="s">
        <v>1346</v>
      </c>
      <c r="D191" s="8">
        <v>4473</v>
      </c>
      <c r="F191" s="113" t="s">
        <v>20</v>
      </c>
      <c r="G191" s="1"/>
      <c r="I191" s="1"/>
    </row>
    <row r="192" spans="1:9">
      <c r="A192" s="120">
        <v>25</v>
      </c>
      <c r="B192" s="113" t="s">
        <v>324</v>
      </c>
      <c r="C192" s="1" t="s">
        <v>1347</v>
      </c>
      <c r="D192" s="8">
        <v>3574</v>
      </c>
      <c r="F192" s="113" t="s">
        <v>20</v>
      </c>
      <c r="G192" s="1"/>
      <c r="I192" s="1"/>
    </row>
    <row r="193" spans="1:9">
      <c r="A193" s="120">
        <v>26</v>
      </c>
      <c r="B193" s="113" t="s">
        <v>325</v>
      </c>
      <c r="C193" s="1" t="s">
        <v>1348</v>
      </c>
      <c r="D193" s="8">
        <v>2886</v>
      </c>
      <c r="F193" s="113" t="s">
        <v>20</v>
      </c>
      <c r="G193" s="1"/>
      <c r="I193" s="1"/>
    </row>
    <row r="194" spans="1:9">
      <c r="D194" s="116"/>
    </row>
    <row r="195" spans="1:9">
      <c r="A195" s="113" t="s">
        <v>20</v>
      </c>
      <c r="D195" s="115">
        <f>SUM(D168:D193)</f>
        <v>78187</v>
      </c>
    </row>
    <row r="196" spans="1:9">
      <c r="A196" s="113"/>
      <c r="B196" s="113"/>
      <c r="D196" s="121"/>
    </row>
    <row r="197" spans="1:9">
      <c r="A197" s="113" t="s">
        <v>326</v>
      </c>
      <c r="B197" s="113"/>
      <c r="D197" s="121"/>
    </row>
    <row r="198" spans="1:9">
      <c r="A198" s="113"/>
      <c r="B198" s="113"/>
      <c r="D198" s="121"/>
    </row>
    <row r="199" spans="1:9">
      <c r="A199" s="113"/>
      <c r="B199" s="113"/>
      <c r="D199" s="121"/>
    </row>
    <row r="200" spans="1:9">
      <c r="D200" s="10" t="s">
        <v>285</v>
      </c>
      <c r="F200" s="38" t="s">
        <v>1842</v>
      </c>
    </row>
    <row r="201" spans="1:9">
      <c r="D201" s="39">
        <v>2016</v>
      </c>
      <c r="E201" s="40"/>
      <c r="F201" s="41" t="s">
        <v>286</v>
      </c>
    </row>
    <row r="202" spans="1:9">
      <c r="A202" s="113" t="s">
        <v>327</v>
      </c>
      <c r="D202" s="115">
        <f>SUM(D203:D218)</f>
        <v>26264</v>
      </c>
    </row>
    <row r="203" spans="1:9">
      <c r="A203" s="120">
        <v>1</v>
      </c>
      <c r="B203" s="113" t="s">
        <v>1719</v>
      </c>
      <c r="C203" s="1" t="s">
        <v>1725</v>
      </c>
      <c r="D203" s="7">
        <v>2103</v>
      </c>
      <c r="F203" s="113" t="s">
        <v>347</v>
      </c>
      <c r="G203" s="19"/>
      <c r="I203" s="1"/>
    </row>
    <row r="204" spans="1:9">
      <c r="A204" s="120">
        <v>2</v>
      </c>
      <c r="B204" s="113" t="s">
        <v>1720</v>
      </c>
      <c r="C204" s="1" t="s">
        <v>1726</v>
      </c>
      <c r="D204" s="7">
        <v>955</v>
      </c>
      <c r="F204" s="113" t="s">
        <v>347</v>
      </c>
      <c r="G204" s="19"/>
      <c r="I204" s="1"/>
    </row>
    <row r="205" spans="1:9">
      <c r="A205" s="120">
        <v>3</v>
      </c>
      <c r="B205" s="113" t="s">
        <v>328</v>
      </c>
      <c r="C205" s="1" t="s">
        <v>1727</v>
      </c>
      <c r="D205" s="7">
        <v>952</v>
      </c>
      <c r="F205" s="113" t="s">
        <v>347</v>
      </c>
      <c r="G205" s="19"/>
      <c r="I205" s="1"/>
    </row>
    <row r="206" spans="1:9">
      <c r="A206" s="120">
        <v>4</v>
      </c>
      <c r="B206" s="113" t="s">
        <v>329</v>
      </c>
      <c r="C206" s="1" t="s">
        <v>1728</v>
      </c>
      <c r="D206" s="7">
        <v>955</v>
      </c>
      <c r="F206" s="113" t="s">
        <v>347</v>
      </c>
      <c r="G206" s="19"/>
      <c r="I206" s="1"/>
    </row>
    <row r="207" spans="1:9">
      <c r="A207" s="120">
        <v>5</v>
      </c>
      <c r="B207" s="113" t="s">
        <v>1721</v>
      </c>
      <c r="C207" s="1" t="s">
        <v>1729</v>
      </c>
      <c r="D207" s="7">
        <v>1915</v>
      </c>
      <c r="F207" s="113" t="s">
        <v>347</v>
      </c>
      <c r="G207" s="19"/>
      <c r="I207" s="1"/>
    </row>
    <row r="208" spans="1:9">
      <c r="A208" s="120">
        <v>6</v>
      </c>
      <c r="B208" s="113" t="s">
        <v>1722</v>
      </c>
      <c r="C208" s="1" t="s">
        <v>1730</v>
      </c>
      <c r="D208" s="7">
        <v>954</v>
      </c>
      <c r="F208" s="113" t="s">
        <v>347</v>
      </c>
      <c r="G208" s="19"/>
      <c r="I208" s="1"/>
    </row>
    <row r="209" spans="1:9">
      <c r="A209" s="120">
        <v>7</v>
      </c>
      <c r="B209" s="113" t="s">
        <v>1723</v>
      </c>
      <c r="C209" s="1" t="s">
        <v>1731</v>
      </c>
      <c r="D209" s="7">
        <v>918</v>
      </c>
      <c r="F209" s="113" t="s">
        <v>347</v>
      </c>
      <c r="G209" s="19"/>
      <c r="I209" s="1"/>
    </row>
    <row r="210" spans="1:9">
      <c r="A210" s="120">
        <v>8</v>
      </c>
      <c r="B210" s="113" t="s">
        <v>1724</v>
      </c>
      <c r="C210" s="1" t="s">
        <v>1732</v>
      </c>
      <c r="D210" s="7">
        <v>2842</v>
      </c>
      <c r="F210" s="113" t="s">
        <v>347</v>
      </c>
      <c r="G210" s="19"/>
      <c r="I210" s="1"/>
    </row>
    <row r="211" spans="1:9">
      <c r="A211" s="120">
        <v>9</v>
      </c>
      <c r="B211" s="113" t="s">
        <v>330</v>
      </c>
      <c r="C211" s="1" t="s">
        <v>1733</v>
      </c>
      <c r="D211" s="7">
        <v>1653</v>
      </c>
      <c r="F211" s="113" t="s">
        <v>347</v>
      </c>
      <c r="G211" s="19"/>
      <c r="I211" s="1"/>
    </row>
    <row r="212" spans="1:9">
      <c r="A212" s="120">
        <v>10</v>
      </c>
      <c r="B212" s="113" t="s">
        <v>331</v>
      </c>
      <c r="C212" s="1" t="s">
        <v>1734</v>
      </c>
      <c r="D212" s="7">
        <v>1946</v>
      </c>
      <c r="F212" s="113" t="s">
        <v>347</v>
      </c>
      <c r="G212" s="19"/>
      <c r="I212" s="1"/>
    </row>
    <row r="213" spans="1:9">
      <c r="A213" s="120">
        <v>11</v>
      </c>
      <c r="B213" s="113" t="s">
        <v>332</v>
      </c>
      <c r="C213" s="1" t="s">
        <v>1735</v>
      </c>
      <c r="D213" s="7">
        <v>1717</v>
      </c>
      <c r="F213" s="113" t="s">
        <v>347</v>
      </c>
      <c r="G213" s="19"/>
      <c r="I213" s="1"/>
    </row>
    <row r="214" spans="1:9">
      <c r="A214" s="120">
        <v>12</v>
      </c>
      <c r="B214" s="113" t="s">
        <v>333</v>
      </c>
      <c r="C214" s="1" t="s">
        <v>1736</v>
      </c>
      <c r="D214" s="7">
        <v>1857</v>
      </c>
      <c r="F214" s="113" t="s">
        <v>347</v>
      </c>
      <c r="G214" s="19"/>
      <c r="I214" s="1"/>
    </row>
    <row r="215" spans="1:9">
      <c r="A215" s="120">
        <v>13</v>
      </c>
      <c r="B215" s="113" t="s">
        <v>334</v>
      </c>
      <c r="C215" s="1" t="s">
        <v>1737</v>
      </c>
      <c r="D215" s="7">
        <v>1632</v>
      </c>
      <c r="F215" s="113" t="s">
        <v>347</v>
      </c>
      <c r="G215" s="19"/>
      <c r="I215" s="1"/>
    </row>
    <row r="216" spans="1:9">
      <c r="A216" s="120">
        <v>14</v>
      </c>
      <c r="B216" s="113" t="s">
        <v>335</v>
      </c>
      <c r="C216" s="1" t="s">
        <v>1738</v>
      </c>
      <c r="D216" s="7">
        <v>2834</v>
      </c>
      <c r="F216" s="113" t="s">
        <v>347</v>
      </c>
      <c r="G216" s="19"/>
      <c r="I216" s="1"/>
    </row>
    <row r="217" spans="1:9">
      <c r="A217" s="120">
        <v>15</v>
      </c>
      <c r="B217" s="113" t="s">
        <v>336</v>
      </c>
      <c r="C217" s="1" t="s">
        <v>1739</v>
      </c>
      <c r="D217" s="7">
        <v>901</v>
      </c>
      <c r="F217" s="113" t="s">
        <v>347</v>
      </c>
      <c r="G217" s="19"/>
      <c r="I217" s="1"/>
    </row>
    <row r="218" spans="1:9">
      <c r="A218" s="120">
        <v>16</v>
      </c>
      <c r="B218" s="113" t="s">
        <v>337</v>
      </c>
      <c r="C218" s="1" t="s">
        <v>1740</v>
      </c>
      <c r="D218" s="8">
        <v>2130</v>
      </c>
      <c r="F218" s="113" t="s">
        <v>347</v>
      </c>
      <c r="G218" s="20"/>
      <c r="I218" s="1"/>
    </row>
    <row r="219" spans="1:9">
      <c r="D219" s="116"/>
    </row>
    <row r="220" spans="1:9">
      <c r="A220" s="113" t="s">
        <v>552</v>
      </c>
      <c r="D220" s="115">
        <f>SUM(D203:D218)</f>
        <v>26264</v>
      </c>
    </row>
    <row r="222" spans="1:9">
      <c r="A222" s="114" t="s">
        <v>1741</v>
      </c>
    </row>
  </sheetData>
  <phoneticPr fontId="5" type="noConversion"/>
  <printOptions gridLinesSet="0"/>
  <pageMargins left="0.78740157480314965" right="0" top="0.51181102362204722" bottom="0.51181102362204722" header="0.51181102362204722" footer="0.51181102362204722"/>
  <pageSetup paperSize="9" scale="90" orientation="portrait" horizontalDpi="300" verticalDpi="300" r:id="rId1"/>
  <headerFooter alignWithMargins="0">
    <oddFooter>&amp;C&amp;8&amp;P of &amp;N</oddFooter>
  </headerFooter>
  <ignoredErrors>
    <ignoredError sqref="D118 D195 D167 D220 D202 D40 D159:D160 D18:D31 D3:D13 D15:D17 D33:D34 D35 D85 D110:D111 D77:D78 D32" unlockedFormula="1"/>
  </ignoredError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198"/>
  <sheetViews>
    <sheetView showGridLines="0" zoomScaleNormal="100" workbookViewId="0"/>
  </sheetViews>
  <sheetFormatPr defaultColWidth="12.59765625" defaultRowHeight="14.5"/>
  <cols>
    <col min="1" max="1" width="4.8984375" style="666" customWidth="1"/>
    <col min="2" max="2" width="40.8984375" style="666" customWidth="1"/>
    <col min="3" max="3" width="11.59765625" style="666" customWidth="1"/>
    <col min="4" max="4" width="10" style="666" customWidth="1"/>
    <col min="5" max="5" width="2.296875" style="666" customWidth="1"/>
    <col min="6" max="6" width="39.09765625" style="666" customWidth="1"/>
    <col min="7" max="16384" width="12.59765625" style="666"/>
  </cols>
  <sheetData>
    <row r="1" spans="1:6">
      <c r="A1" s="665" t="s">
        <v>1075</v>
      </c>
      <c r="D1" s="667">
        <v>2016</v>
      </c>
    </row>
    <row r="3" spans="1:6">
      <c r="A3" s="665" t="s">
        <v>10590</v>
      </c>
      <c r="D3" s="668">
        <f t="shared" ref="D3" si="0">SUM(D5:D8)</f>
        <v>952530</v>
      </c>
    </row>
    <row r="4" spans="1:6">
      <c r="D4" s="669"/>
      <c r="F4" s="670"/>
    </row>
    <row r="5" spans="1:6">
      <c r="A5" s="665" t="s">
        <v>11157</v>
      </c>
      <c r="C5" s="665"/>
      <c r="D5" s="668">
        <f t="shared" ref="D5" si="1">D59</f>
        <v>167715</v>
      </c>
      <c r="F5" s="671"/>
    </row>
    <row r="6" spans="1:6">
      <c r="A6" s="665" t="s">
        <v>11158</v>
      </c>
      <c r="C6" s="665"/>
      <c r="D6" s="668">
        <f t="shared" ref="D6" si="2">D94</f>
        <v>211267</v>
      </c>
      <c r="F6" s="671"/>
    </row>
    <row r="7" spans="1:6">
      <c r="A7" s="665" t="s">
        <v>11159</v>
      </c>
      <c r="C7" s="665"/>
      <c r="D7" s="668">
        <f t="shared" ref="D7" si="3">D126</f>
        <v>192118</v>
      </c>
      <c r="F7" s="671"/>
    </row>
    <row r="8" spans="1:6">
      <c r="A8" s="665" t="s">
        <v>11160</v>
      </c>
      <c r="C8" s="665"/>
      <c r="D8" s="668">
        <f t="shared" ref="D8" si="4">D161</f>
        <v>381430</v>
      </c>
      <c r="F8" s="671"/>
    </row>
    <row r="10" spans="1:6">
      <c r="A10" s="665" t="s">
        <v>11161</v>
      </c>
      <c r="D10" s="668">
        <f t="shared" ref="D10" si="5">D82</f>
        <v>75665</v>
      </c>
      <c r="F10" s="665" t="s">
        <v>11162</v>
      </c>
    </row>
    <row r="11" spans="1:6">
      <c r="D11" s="669"/>
    </row>
    <row r="12" spans="1:6">
      <c r="A12" s="665" t="s">
        <v>11163</v>
      </c>
      <c r="D12" s="668">
        <f t="shared" ref="D12" si="6">D83</f>
        <v>49554</v>
      </c>
      <c r="F12" s="665" t="s">
        <v>11162</v>
      </c>
    </row>
    <row r="13" spans="1:6" ht="15" thickBot="1">
      <c r="A13" s="665"/>
      <c r="D13" s="668">
        <f>'WEST YORKSHIRE'!D12</f>
        <v>22900</v>
      </c>
      <c r="F13" s="665" t="s">
        <v>10787</v>
      </c>
    </row>
    <row r="14" spans="1:6" ht="15" thickBot="1">
      <c r="A14" s="665"/>
      <c r="D14" s="672">
        <f t="shared" ref="D14" si="7">D12+D13</f>
        <v>72454</v>
      </c>
      <c r="F14" s="665"/>
    </row>
    <row r="15" spans="1:6">
      <c r="A15" s="665"/>
      <c r="D15" s="673"/>
      <c r="F15" s="665"/>
    </row>
    <row r="16" spans="1:6">
      <c r="A16" s="665" t="s">
        <v>11164</v>
      </c>
      <c r="D16" s="673">
        <f>D84</f>
        <v>9162</v>
      </c>
      <c r="F16" s="665" t="s">
        <v>11162</v>
      </c>
    </row>
    <row r="17" spans="1:6" ht="15" thickBot="1">
      <c r="A17" s="665"/>
      <c r="D17" s="673">
        <f>'WEST YORKSHIRE'!D26</f>
        <v>65737</v>
      </c>
      <c r="F17" s="665" t="s">
        <v>11165</v>
      </c>
    </row>
    <row r="18" spans="1:6" ht="15" thickBot="1">
      <c r="A18" s="665"/>
      <c r="D18" s="672">
        <f t="shared" ref="D18" si="8">D16+D17</f>
        <v>74899</v>
      </c>
      <c r="F18" s="665"/>
    </row>
    <row r="19" spans="1:6">
      <c r="D19" s="669"/>
    </row>
    <row r="20" spans="1:6">
      <c r="A20" s="665" t="s">
        <v>11166</v>
      </c>
      <c r="D20" s="668">
        <f t="shared" ref="D20" si="9">D117</f>
        <v>72729</v>
      </c>
      <c r="F20" s="665" t="s">
        <v>11167</v>
      </c>
    </row>
    <row r="21" spans="1:6">
      <c r="D21" s="669"/>
    </row>
    <row r="22" spans="1:6">
      <c r="A22" s="665" t="s">
        <v>11168</v>
      </c>
      <c r="D22" s="668">
        <f>D118</f>
        <v>71593</v>
      </c>
      <c r="F22" s="665" t="s">
        <v>11167</v>
      </c>
    </row>
    <row r="23" spans="1:6">
      <c r="D23" s="669"/>
    </row>
    <row r="24" spans="1:6">
      <c r="A24" s="665" t="s">
        <v>11169</v>
      </c>
      <c r="D24" s="669">
        <f>D85</f>
        <v>7367</v>
      </c>
      <c r="F24" s="665" t="s">
        <v>11162</v>
      </c>
    </row>
    <row r="25" spans="1:6" ht="15" thickBot="1">
      <c r="D25" s="668">
        <f>D119</f>
        <v>66945</v>
      </c>
      <c r="F25" s="665" t="s">
        <v>11167</v>
      </c>
    </row>
    <row r="26" spans="1:6" ht="15" thickBot="1">
      <c r="A26" s="665"/>
      <c r="D26" s="672">
        <f t="shared" ref="D26" si="10">D24+D25</f>
        <v>74312</v>
      </c>
      <c r="F26" s="665"/>
    </row>
    <row r="27" spans="1:6">
      <c r="D27" s="669"/>
    </row>
    <row r="28" spans="1:6">
      <c r="A28" s="665" t="s">
        <v>11170</v>
      </c>
      <c r="D28" s="668">
        <f t="shared" ref="D28" si="11">D149</f>
        <v>45002</v>
      </c>
      <c r="F28" s="665" t="s">
        <v>11171</v>
      </c>
    </row>
    <row r="29" spans="1:6" ht="15" thickBot="1">
      <c r="A29" s="665"/>
      <c r="D29" s="668">
        <f>D191</f>
        <v>26517</v>
      </c>
      <c r="F29" s="665" t="s">
        <v>11172</v>
      </c>
    </row>
    <row r="30" spans="1:6" ht="15" thickBot="1">
      <c r="A30" s="665"/>
      <c r="D30" s="672">
        <f t="shared" ref="D30" si="12">D28+D29</f>
        <v>71519</v>
      </c>
      <c r="F30" s="665"/>
    </row>
    <row r="31" spans="1:6">
      <c r="D31" s="669"/>
    </row>
    <row r="32" spans="1:6">
      <c r="A32" s="665" t="s">
        <v>11173</v>
      </c>
      <c r="D32" s="668">
        <f t="shared" ref="D32" si="13">D150</f>
        <v>72571</v>
      </c>
      <c r="F32" s="665" t="s">
        <v>11171</v>
      </c>
    </row>
    <row r="33" spans="1:6">
      <c r="D33" s="669"/>
    </row>
    <row r="34" spans="1:6">
      <c r="A34" s="665" t="s">
        <v>11174</v>
      </c>
      <c r="D34" s="668">
        <f t="shared" ref="D34" si="14">D192</f>
        <v>71698</v>
      </c>
      <c r="F34" s="665" t="s">
        <v>11172</v>
      </c>
    </row>
    <row r="35" spans="1:6">
      <c r="D35" s="669"/>
    </row>
    <row r="36" spans="1:6">
      <c r="A36" s="665" t="s">
        <v>11175</v>
      </c>
      <c r="D36" s="669">
        <f>D151</f>
        <v>9260</v>
      </c>
      <c r="F36" s="665" t="s">
        <v>11171</v>
      </c>
    </row>
    <row r="37" spans="1:6" ht="15" thickBot="1">
      <c r="D37" s="668">
        <f>D193</f>
        <v>68111</v>
      </c>
      <c r="F37" s="665" t="s">
        <v>11172</v>
      </c>
    </row>
    <row r="38" spans="1:6" ht="15" thickBot="1">
      <c r="D38" s="674">
        <f t="shared" ref="D38" si="15">D36+D37</f>
        <v>77371</v>
      </c>
    </row>
    <row r="39" spans="1:6">
      <c r="D39" s="669"/>
    </row>
    <row r="40" spans="1:6">
      <c r="A40" s="665" t="s">
        <v>11176</v>
      </c>
      <c r="D40" s="669">
        <f>D86</f>
        <v>8963</v>
      </c>
      <c r="F40" s="665" t="s">
        <v>11162</v>
      </c>
    </row>
    <row r="41" spans="1:6" ht="15" thickBot="1">
      <c r="D41" s="668">
        <f t="shared" ref="D41" si="16">D194</f>
        <v>68577</v>
      </c>
      <c r="F41" s="665" t="s">
        <v>11172</v>
      </c>
    </row>
    <row r="42" spans="1:6" ht="15" thickBot="1">
      <c r="D42" s="674">
        <f t="shared" ref="D42" si="17">D40+D41</f>
        <v>77540</v>
      </c>
      <c r="F42" s="665"/>
    </row>
    <row r="43" spans="1:6">
      <c r="D43" s="669"/>
    </row>
    <row r="44" spans="1:6">
      <c r="A44" s="665" t="s">
        <v>11177</v>
      </c>
      <c r="D44" s="669">
        <f>D152</f>
        <v>9143</v>
      </c>
      <c r="F44" s="665" t="s">
        <v>11171</v>
      </c>
    </row>
    <row r="45" spans="1:6" ht="15" thickBot="1">
      <c r="D45" s="668">
        <f>D195</f>
        <v>68732</v>
      </c>
      <c r="F45" s="665" t="s">
        <v>11172</v>
      </c>
    </row>
    <row r="46" spans="1:6" ht="15" thickBot="1">
      <c r="D46" s="674">
        <f t="shared" ref="D46" si="18">D44+D45</f>
        <v>77875</v>
      </c>
    </row>
    <row r="48" spans="1:6">
      <c r="A48" s="665" t="s">
        <v>11178</v>
      </c>
      <c r="D48" s="668">
        <f>D196</f>
        <v>77795</v>
      </c>
      <c r="F48" s="665" t="s">
        <v>11172</v>
      </c>
    </row>
    <row r="49" spans="1:10">
      <c r="D49" s="669"/>
    </row>
    <row r="50" spans="1:10">
      <c r="A50" s="665" t="s">
        <v>11179</v>
      </c>
      <c r="D50" s="668">
        <f>D87</f>
        <v>17004</v>
      </c>
      <c r="F50" s="665" t="s">
        <v>11162</v>
      </c>
    </row>
    <row r="51" spans="1:10" ht="15" thickBot="1">
      <c r="A51" s="665"/>
      <c r="D51" s="675">
        <f t="shared" ref="D51" si="19">D153</f>
        <v>56142</v>
      </c>
      <c r="F51" s="665" t="s">
        <v>11171</v>
      </c>
    </row>
    <row r="52" spans="1:10" ht="15" thickBot="1">
      <c r="A52" s="665"/>
      <c r="D52" s="674">
        <f t="shared" ref="D52" si="20">D50+D51</f>
        <v>73146</v>
      </c>
      <c r="F52" s="665"/>
    </row>
    <row r="53" spans="1:10">
      <c r="D53" s="669"/>
    </row>
    <row r="54" spans="1:10">
      <c r="A54" s="665" t="s">
        <v>1041</v>
      </c>
      <c r="D54" s="668">
        <f>D10+D12+D16+D20+D22+D26+D30+D32+D34+D38+D42+D46+D48+D52</f>
        <v>952530</v>
      </c>
    </row>
    <row r="55" spans="1:10">
      <c r="D55" s="669"/>
    </row>
    <row r="56" spans="1:10">
      <c r="A56" s="665"/>
      <c r="D56" s="676"/>
    </row>
    <row r="57" spans="1:10">
      <c r="D57" s="10" t="s">
        <v>285</v>
      </c>
      <c r="E57" s="38"/>
      <c r="F57" s="41" t="s">
        <v>4116</v>
      </c>
    </row>
    <row r="58" spans="1:10">
      <c r="D58" s="39">
        <v>2016</v>
      </c>
      <c r="F58" s="41" t="s">
        <v>286</v>
      </c>
    </row>
    <row r="59" spans="1:10">
      <c r="A59" s="665" t="s">
        <v>11180</v>
      </c>
      <c r="C59" s="665"/>
      <c r="D59" s="668">
        <f t="shared" ref="D59" si="21">SUM(D60:D80)</f>
        <v>167715</v>
      </c>
    </row>
    <row r="60" spans="1:10">
      <c r="A60" s="665" t="s">
        <v>812</v>
      </c>
      <c r="B60" s="665" t="s">
        <v>888</v>
      </c>
      <c r="C60" s="1" t="s">
        <v>11181</v>
      </c>
      <c r="D60" s="13">
        <v>7231</v>
      </c>
      <c r="F60" s="665" t="s">
        <v>11161</v>
      </c>
      <c r="H60" s="1"/>
      <c r="J60" s="1"/>
    </row>
    <row r="61" spans="1:10">
      <c r="A61" s="665" t="s">
        <v>813</v>
      </c>
      <c r="B61" s="665" t="s">
        <v>11182</v>
      </c>
      <c r="C61" s="1" t="s">
        <v>11183</v>
      </c>
      <c r="D61" s="13">
        <v>7730</v>
      </c>
      <c r="F61" s="665" t="s">
        <v>11163</v>
      </c>
      <c r="H61" s="1"/>
      <c r="J61" s="1"/>
    </row>
    <row r="62" spans="1:10">
      <c r="A62" s="665" t="s">
        <v>814</v>
      </c>
      <c r="B62" s="665" t="s">
        <v>11184</v>
      </c>
      <c r="C62" s="1" t="s">
        <v>11185</v>
      </c>
      <c r="D62" s="13">
        <v>7398</v>
      </c>
      <c r="F62" s="665" t="s">
        <v>11163</v>
      </c>
      <c r="H62" s="1"/>
      <c r="J62" s="1"/>
    </row>
    <row r="63" spans="1:10">
      <c r="A63" s="665" t="s">
        <v>815</v>
      </c>
      <c r="B63" s="665" t="s">
        <v>11186</v>
      </c>
      <c r="C63" s="1" t="s">
        <v>11187</v>
      </c>
      <c r="D63" s="13">
        <v>8032</v>
      </c>
      <c r="F63" s="665" t="s">
        <v>11161</v>
      </c>
      <c r="H63" s="1"/>
      <c r="J63" s="1"/>
    </row>
    <row r="64" spans="1:10">
      <c r="A64" s="665" t="s">
        <v>816</v>
      </c>
      <c r="B64" s="665" t="s">
        <v>11188</v>
      </c>
      <c r="C64" s="1" t="s">
        <v>11189</v>
      </c>
      <c r="D64" s="13">
        <v>7875</v>
      </c>
      <c r="F64" s="665" t="s">
        <v>11161</v>
      </c>
      <c r="H64" s="1"/>
      <c r="J64" s="1"/>
    </row>
    <row r="65" spans="1:10">
      <c r="A65" s="665" t="s">
        <v>826</v>
      </c>
      <c r="B65" s="665" t="s">
        <v>11190</v>
      </c>
      <c r="C65" s="1" t="s">
        <v>11191</v>
      </c>
      <c r="D65" s="13">
        <v>7367</v>
      </c>
      <c r="F65" s="665" t="s">
        <v>11169</v>
      </c>
      <c r="H65" s="1"/>
      <c r="J65" s="1"/>
    </row>
    <row r="66" spans="1:10">
      <c r="A66" s="665" t="s">
        <v>827</v>
      </c>
      <c r="B66" s="665" t="s">
        <v>11192</v>
      </c>
      <c r="C66" s="1" t="s">
        <v>11193</v>
      </c>
      <c r="D66" s="13">
        <v>8195</v>
      </c>
      <c r="F66" s="665" t="s">
        <v>11163</v>
      </c>
      <c r="H66" s="1"/>
      <c r="J66" s="1"/>
    </row>
    <row r="67" spans="1:10">
      <c r="A67" s="665" t="s">
        <v>828</v>
      </c>
      <c r="B67" s="665" t="s">
        <v>11194</v>
      </c>
      <c r="C67" s="1" t="s">
        <v>11195</v>
      </c>
      <c r="D67" s="13">
        <v>7917</v>
      </c>
      <c r="F67" s="665" t="s">
        <v>11161</v>
      </c>
      <c r="H67" s="1"/>
      <c r="J67" s="1"/>
    </row>
    <row r="68" spans="1:10">
      <c r="A68" s="665" t="s">
        <v>829</v>
      </c>
      <c r="B68" s="665" t="s">
        <v>11196</v>
      </c>
      <c r="C68" s="1" t="s">
        <v>11197</v>
      </c>
      <c r="D68" s="13">
        <v>8811</v>
      </c>
      <c r="F68" s="665" t="s">
        <v>11179</v>
      </c>
      <c r="H68" s="1"/>
      <c r="J68" s="1"/>
    </row>
    <row r="69" spans="1:10">
      <c r="A69" s="665" t="s">
        <v>830</v>
      </c>
      <c r="B69" s="665" t="s">
        <v>11198</v>
      </c>
      <c r="C69" s="1" t="s">
        <v>11199</v>
      </c>
      <c r="D69" s="13">
        <v>6792</v>
      </c>
      <c r="F69" s="665" t="s">
        <v>11161</v>
      </c>
      <c r="H69" s="1"/>
      <c r="J69" s="1"/>
    </row>
    <row r="70" spans="1:10">
      <c r="A70" s="665" t="s">
        <v>831</v>
      </c>
      <c r="B70" s="665" t="s">
        <v>11200</v>
      </c>
      <c r="C70" s="1" t="s">
        <v>11201</v>
      </c>
      <c r="D70" s="13">
        <v>7780</v>
      </c>
      <c r="F70" s="665" t="s">
        <v>11161</v>
      </c>
      <c r="H70" s="1"/>
      <c r="J70" s="1"/>
    </row>
    <row r="71" spans="1:10">
      <c r="A71" s="665" t="s">
        <v>832</v>
      </c>
      <c r="B71" s="665" t="s">
        <v>11202</v>
      </c>
      <c r="C71" s="1" t="s">
        <v>11203</v>
      </c>
      <c r="D71" s="13">
        <v>9423</v>
      </c>
      <c r="F71" s="665" t="s">
        <v>11163</v>
      </c>
      <c r="H71" s="1"/>
      <c r="J71" s="1"/>
    </row>
    <row r="72" spans="1:10">
      <c r="A72" s="665" t="s">
        <v>833</v>
      </c>
      <c r="B72" s="665" t="s">
        <v>458</v>
      </c>
      <c r="C72" s="1" t="s">
        <v>11204</v>
      </c>
      <c r="D72" s="13">
        <v>7815</v>
      </c>
      <c r="F72" s="665" t="s">
        <v>11161</v>
      </c>
      <c r="H72" s="1"/>
      <c r="J72" s="1"/>
    </row>
    <row r="73" spans="1:10">
      <c r="A73" s="665" t="s">
        <v>834</v>
      </c>
      <c r="B73" s="665" t="s">
        <v>11205</v>
      </c>
      <c r="C73" s="1" t="s">
        <v>11206</v>
      </c>
      <c r="D73" s="13">
        <v>8963</v>
      </c>
      <c r="F73" s="665" t="s">
        <v>11176</v>
      </c>
      <c r="H73" s="1"/>
      <c r="J73" s="1"/>
    </row>
    <row r="74" spans="1:10">
      <c r="A74" s="665" t="s">
        <v>835</v>
      </c>
      <c r="B74" s="665" t="s">
        <v>11207</v>
      </c>
      <c r="C74" s="1" t="s">
        <v>11208</v>
      </c>
      <c r="D74" s="13">
        <v>9162</v>
      </c>
      <c r="F74" s="658" t="s">
        <v>11164</v>
      </c>
      <c r="H74" s="1"/>
      <c r="J74" s="1"/>
    </row>
    <row r="75" spans="1:10">
      <c r="A75" s="665" t="s">
        <v>836</v>
      </c>
      <c r="B75" s="665" t="s">
        <v>11209</v>
      </c>
      <c r="C75" s="1" t="s">
        <v>11210</v>
      </c>
      <c r="D75" s="13">
        <v>8193</v>
      </c>
      <c r="F75" s="665" t="s">
        <v>11179</v>
      </c>
      <c r="H75" s="1"/>
      <c r="J75" s="1"/>
    </row>
    <row r="76" spans="1:10">
      <c r="A76" s="665" t="s">
        <v>837</v>
      </c>
      <c r="B76" s="665" t="s">
        <v>11211</v>
      </c>
      <c r="C76" s="1" t="s">
        <v>11212</v>
      </c>
      <c r="D76" s="13">
        <v>7928</v>
      </c>
      <c r="F76" s="665" t="s">
        <v>11161</v>
      </c>
      <c r="H76" s="1"/>
      <c r="J76" s="1"/>
    </row>
    <row r="77" spans="1:10">
      <c r="A77" s="665" t="s">
        <v>838</v>
      </c>
      <c r="B77" s="665" t="s">
        <v>11213</v>
      </c>
      <c r="C77" s="1" t="s">
        <v>11214</v>
      </c>
      <c r="D77" s="13">
        <v>7314</v>
      </c>
      <c r="F77" s="665" t="s">
        <v>11161</v>
      </c>
      <c r="H77" s="1"/>
      <c r="J77" s="1"/>
    </row>
    <row r="78" spans="1:10">
      <c r="A78" s="665" t="s">
        <v>840</v>
      </c>
      <c r="B78" s="665" t="s">
        <v>11215</v>
      </c>
      <c r="C78" s="1" t="s">
        <v>11216</v>
      </c>
      <c r="D78" s="13">
        <v>8378</v>
      </c>
      <c r="F78" s="665" t="s">
        <v>11163</v>
      </c>
      <c r="H78" s="1"/>
      <c r="J78" s="1"/>
    </row>
    <row r="79" spans="1:10">
      <c r="A79" s="665" t="s">
        <v>841</v>
      </c>
      <c r="B79" s="665" t="s">
        <v>11217</v>
      </c>
      <c r="C79" s="1" t="s">
        <v>11218</v>
      </c>
      <c r="D79" s="13">
        <v>8430</v>
      </c>
      <c r="F79" s="665" t="s">
        <v>11163</v>
      </c>
      <c r="H79" s="1"/>
      <c r="J79" s="1"/>
    </row>
    <row r="80" spans="1:10">
      <c r="A80" s="665" t="s">
        <v>878</v>
      </c>
      <c r="B80" s="665" t="s">
        <v>11219</v>
      </c>
      <c r="C80" s="1" t="s">
        <v>11220</v>
      </c>
      <c r="D80" s="13">
        <v>6981</v>
      </c>
      <c r="F80" s="665" t="s">
        <v>11161</v>
      </c>
      <c r="H80" s="1"/>
      <c r="J80" s="1"/>
    </row>
    <row r="81" spans="1:10">
      <c r="D81" s="669"/>
    </row>
    <row r="82" spans="1:10">
      <c r="A82" s="665" t="s">
        <v>11161</v>
      </c>
      <c r="D82" s="668">
        <f>D60+D63+D64+D67+D69+D70+D72+D76+D77+D80</f>
        <v>75665</v>
      </c>
    </row>
    <row r="83" spans="1:10">
      <c r="A83" s="665" t="s">
        <v>11221</v>
      </c>
      <c r="D83" s="668">
        <f>D61+D62+D66+D71+D78+D79</f>
        <v>49554</v>
      </c>
    </row>
    <row r="84" spans="1:10">
      <c r="A84" s="658" t="s">
        <v>11222</v>
      </c>
      <c r="D84" s="668">
        <f>D74</f>
        <v>9162</v>
      </c>
    </row>
    <row r="85" spans="1:10">
      <c r="A85" s="665" t="s">
        <v>11223</v>
      </c>
      <c r="D85" s="668">
        <f>D65</f>
        <v>7367</v>
      </c>
    </row>
    <row r="86" spans="1:10">
      <c r="A86" s="665" t="s">
        <v>11224</v>
      </c>
      <c r="D86" s="668">
        <f>D73</f>
        <v>8963</v>
      </c>
    </row>
    <row r="87" spans="1:10">
      <c r="A87" s="665" t="s">
        <v>11225</v>
      </c>
      <c r="D87" s="668">
        <f>D68+D75</f>
        <v>17004</v>
      </c>
    </row>
    <row r="88" spans="1:10">
      <c r="A88" s="665"/>
      <c r="D88" s="668"/>
    </row>
    <row r="89" spans="1:10">
      <c r="A89" s="665" t="s">
        <v>11226</v>
      </c>
      <c r="D89" s="668"/>
    </row>
    <row r="92" spans="1:10">
      <c r="D92" s="10" t="s">
        <v>285</v>
      </c>
      <c r="E92" s="38"/>
      <c r="F92" s="41" t="s">
        <v>4116</v>
      </c>
    </row>
    <row r="93" spans="1:10">
      <c r="D93" s="39">
        <v>2016</v>
      </c>
      <c r="F93" s="41" t="s">
        <v>286</v>
      </c>
    </row>
    <row r="94" spans="1:10">
      <c r="A94" s="665" t="s">
        <v>11227</v>
      </c>
      <c r="D94" s="668">
        <f>SUM(D95:D115)</f>
        <v>211267</v>
      </c>
    </row>
    <row r="95" spans="1:10">
      <c r="A95" s="665" t="s">
        <v>812</v>
      </c>
      <c r="B95" s="665" t="s">
        <v>11228</v>
      </c>
      <c r="C95" s="1" t="s">
        <v>11229</v>
      </c>
      <c r="D95" s="8">
        <v>11142</v>
      </c>
      <c r="F95" s="665" t="s">
        <v>11169</v>
      </c>
      <c r="H95" s="1"/>
      <c r="J95" s="1"/>
    </row>
    <row r="96" spans="1:10">
      <c r="A96" s="665" t="s">
        <v>813</v>
      </c>
      <c r="B96" s="665" t="s">
        <v>11230</v>
      </c>
      <c r="C96" s="1" t="s">
        <v>11231</v>
      </c>
      <c r="D96" s="7">
        <v>10384</v>
      </c>
      <c r="F96" s="665" t="s">
        <v>11166</v>
      </c>
      <c r="H96" s="1"/>
      <c r="J96" s="1"/>
    </row>
    <row r="97" spans="1:10">
      <c r="A97" s="665" t="s">
        <v>814</v>
      </c>
      <c r="B97" s="665" t="s">
        <v>11232</v>
      </c>
      <c r="C97" s="1" t="s">
        <v>11233</v>
      </c>
      <c r="D97" s="7">
        <v>7028</v>
      </c>
      <c r="F97" s="665" t="s">
        <v>11166</v>
      </c>
      <c r="H97" s="1"/>
      <c r="J97" s="1"/>
    </row>
    <row r="98" spans="1:10">
      <c r="A98" s="665" t="s">
        <v>815</v>
      </c>
      <c r="B98" s="665" t="s">
        <v>11234</v>
      </c>
      <c r="C98" s="1" t="s">
        <v>11235</v>
      </c>
      <c r="D98" s="8">
        <v>12121</v>
      </c>
      <c r="F98" s="665" t="s">
        <v>11168</v>
      </c>
      <c r="H98" s="1"/>
      <c r="J98" s="1"/>
    </row>
    <row r="99" spans="1:10">
      <c r="A99" s="665" t="s">
        <v>816</v>
      </c>
      <c r="B99" s="665" t="s">
        <v>11236</v>
      </c>
      <c r="C99" s="1" t="s">
        <v>11237</v>
      </c>
      <c r="D99" s="7">
        <v>10961</v>
      </c>
      <c r="F99" s="665" t="s">
        <v>11166</v>
      </c>
      <c r="H99" s="1"/>
      <c r="J99" s="1"/>
    </row>
    <row r="100" spans="1:10">
      <c r="A100" s="665" t="s">
        <v>826</v>
      </c>
      <c r="B100" s="665" t="s">
        <v>11238</v>
      </c>
      <c r="C100" s="1" t="s">
        <v>11239</v>
      </c>
      <c r="D100" s="7">
        <v>11443</v>
      </c>
      <c r="F100" s="665" t="s">
        <v>11169</v>
      </c>
      <c r="H100" s="1"/>
      <c r="J100" s="1"/>
    </row>
    <row r="101" spans="1:10">
      <c r="A101" s="665" t="s">
        <v>827</v>
      </c>
      <c r="B101" s="665" t="s">
        <v>11240</v>
      </c>
      <c r="C101" s="1" t="s">
        <v>11241</v>
      </c>
      <c r="D101" s="7">
        <v>7845</v>
      </c>
      <c r="F101" s="665" t="s">
        <v>11166</v>
      </c>
      <c r="H101" s="1"/>
      <c r="J101" s="1"/>
    </row>
    <row r="102" spans="1:10">
      <c r="A102" s="665" t="s">
        <v>828</v>
      </c>
      <c r="B102" s="665" t="s">
        <v>11242</v>
      </c>
      <c r="C102" s="1" t="s">
        <v>11243</v>
      </c>
      <c r="D102" s="7">
        <v>7729</v>
      </c>
      <c r="F102" s="665" t="s">
        <v>11169</v>
      </c>
      <c r="H102" s="1"/>
      <c r="J102" s="1"/>
    </row>
    <row r="103" spans="1:10">
      <c r="A103" s="665" t="s">
        <v>829</v>
      </c>
      <c r="B103" s="665" t="s">
        <v>11244</v>
      </c>
      <c r="C103" s="1" t="s">
        <v>11245</v>
      </c>
      <c r="D103" s="7">
        <v>12233</v>
      </c>
      <c r="F103" s="665" t="s">
        <v>11168</v>
      </c>
      <c r="H103" s="1"/>
      <c r="J103" s="1"/>
    </row>
    <row r="104" spans="1:10">
      <c r="A104" s="665" t="s">
        <v>830</v>
      </c>
      <c r="B104" s="665" t="s">
        <v>11246</v>
      </c>
      <c r="C104" s="1" t="s">
        <v>11247</v>
      </c>
      <c r="D104" s="7">
        <v>11324</v>
      </c>
      <c r="F104" s="665" t="s">
        <v>11168</v>
      </c>
      <c r="H104" s="1"/>
      <c r="J104" s="1"/>
    </row>
    <row r="105" spans="1:10">
      <c r="A105" s="665" t="s">
        <v>831</v>
      </c>
      <c r="B105" s="665" t="s">
        <v>11248</v>
      </c>
      <c r="C105" s="1" t="s">
        <v>11249</v>
      </c>
      <c r="D105" s="7">
        <v>6751</v>
      </c>
      <c r="F105" s="665" t="s">
        <v>11166</v>
      </c>
      <c r="H105" s="1"/>
      <c r="J105" s="1"/>
    </row>
    <row r="106" spans="1:10">
      <c r="A106" s="665" t="s">
        <v>832</v>
      </c>
      <c r="B106" s="665" t="s">
        <v>11250</v>
      </c>
      <c r="C106" s="1" t="s">
        <v>11251</v>
      </c>
      <c r="D106" s="8">
        <v>11263</v>
      </c>
      <c r="F106" s="665" t="s">
        <v>11169</v>
      </c>
      <c r="H106" s="1"/>
      <c r="J106" s="1"/>
    </row>
    <row r="107" spans="1:10">
      <c r="A107" s="665" t="s">
        <v>833</v>
      </c>
      <c r="B107" s="665" t="s">
        <v>11252</v>
      </c>
      <c r="C107" s="1" t="s">
        <v>11253</v>
      </c>
      <c r="D107" s="8">
        <v>10922</v>
      </c>
      <c r="F107" s="665" t="s">
        <v>11168</v>
      </c>
      <c r="H107" s="1"/>
      <c r="J107" s="1"/>
    </row>
    <row r="108" spans="1:10">
      <c r="A108" s="665" t="s">
        <v>834</v>
      </c>
      <c r="B108" s="665" t="s">
        <v>11254</v>
      </c>
      <c r="C108" s="1" t="s">
        <v>11255</v>
      </c>
      <c r="D108" s="8">
        <v>8390</v>
      </c>
      <c r="F108" s="665" t="s">
        <v>11169</v>
      </c>
      <c r="H108" s="1"/>
      <c r="J108" s="1"/>
    </row>
    <row r="109" spans="1:10">
      <c r="A109" s="665" t="s">
        <v>835</v>
      </c>
      <c r="B109" s="665" t="s">
        <v>11256</v>
      </c>
      <c r="C109" s="1" t="s">
        <v>11257</v>
      </c>
      <c r="D109" s="7">
        <v>12842</v>
      </c>
      <c r="F109" s="665" t="s">
        <v>11168</v>
      </c>
      <c r="H109" s="1"/>
      <c r="J109" s="1"/>
    </row>
    <row r="110" spans="1:10">
      <c r="A110" s="665" t="s">
        <v>836</v>
      </c>
      <c r="B110" s="665" t="s">
        <v>11258</v>
      </c>
      <c r="C110" s="1" t="s">
        <v>11259</v>
      </c>
      <c r="D110" s="8">
        <v>8865</v>
      </c>
      <c r="F110" s="665" t="s">
        <v>11169</v>
      </c>
      <c r="H110" s="1"/>
      <c r="J110" s="1"/>
    </row>
    <row r="111" spans="1:10">
      <c r="A111" s="665" t="s">
        <v>837</v>
      </c>
      <c r="B111" s="665" t="s">
        <v>11260</v>
      </c>
      <c r="C111" s="1" t="s">
        <v>11261</v>
      </c>
      <c r="D111" s="7">
        <v>7069</v>
      </c>
      <c r="F111" s="665" t="s">
        <v>11166</v>
      </c>
      <c r="H111" s="1"/>
      <c r="J111" s="1"/>
    </row>
    <row r="112" spans="1:10">
      <c r="A112" s="665" t="s">
        <v>838</v>
      </c>
      <c r="B112" s="665" t="s">
        <v>11262</v>
      </c>
      <c r="C112" s="1" t="s">
        <v>11263</v>
      </c>
      <c r="D112" s="7">
        <v>12151</v>
      </c>
      <c r="F112" s="665" t="s">
        <v>11168</v>
      </c>
      <c r="H112" s="1"/>
      <c r="J112" s="1"/>
    </row>
    <row r="113" spans="1:10">
      <c r="A113" s="665" t="s">
        <v>840</v>
      </c>
      <c r="B113" s="665" t="s">
        <v>11264</v>
      </c>
      <c r="C113" s="1" t="s">
        <v>11265</v>
      </c>
      <c r="D113" s="7">
        <v>8113</v>
      </c>
      <c r="F113" s="665" t="s">
        <v>11169</v>
      </c>
      <c r="H113" s="1"/>
      <c r="J113" s="1"/>
    </row>
    <row r="114" spans="1:10">
      <c r="A114" s="665" t="s">
        <v>841</v>
      </c>
      <c r="B114" s="665" t="s">
        <v>2865</v>
      </c>
      <c r="C114" s="1" t="s">
        <v>11266</v>
      </c>
      <c r="D114" s="7">
        <v>10517</v>
      </c>
      <c r="F114" s="665" t="s">
        <v>11166</v>
      </c>
      <c r="H114" s="1"/>
      <c r="J114" s="1"/>
    </row>
    <row r="115" spans="1:10">
      <c r="A115" s="665" t="s">
        <v>878</v>
      </c>
      <c r="B115" s="665" t="s">
        <v>11267</v>
      </c>
      <c r="C115" s="1" t="s">
        <v>11268</v>
      </c>
      <c r="D115" s="8">
        <v>12174</v>
      </c>
      <c r="F115" s="665" t="s">
        <v>11166</v>
      </c>
      <c r="H115" s="1"/>
      <c r="J115" s="1"/>
    </row>
    <row r="116" spans="1:10">
      <c r="D116" s="669"/>
    </row>
    <row r="117" spans="1:10">
      <c r="A117" s="665" t="s">
        <v>11166</v>
      </c>
      <c r="D117" s="668">
        <f>D96+D97+D99+D101+D105+D111+D114+D115</f>
        <v>72729</v>
      </c>
    </row>
    <row r="118" spans="1:10">
      <c r="A118" s="665" t="s">
        <v>11168</v>
      </c>
      <c r="D118" s="668">
        <f>D98+D103+D104+D107+D109+D112</f>
        <v>71593</v>
      </c>
    </row>
    <row r="119" spans="1:10">
      <c r="A119" s="665" t="s">
        <v>11223</v>
      </c>
      <c r="D119" s="668">
        <f>D95+D100+D102+D106+D108+D110+D113</f>
        <v>66945</v>
      </c>
    </row>
    <row r="120" spans="1:10">
      <c r="A120" s="665"/>
      <c r="D120" s="668"/>
    </row>
    <row r="121" spans="1:10">
      <c r="A121" s="665" t="s">
        <v>11269</v>
      </c>
      <c r="D121" s="668"/>
    </row>
    <row r="124" spans="1:10">
      <c r="D124" s="10" t="s">
        <v>285</v>
      </c>
      <c r="E124" s="38"/>
      <c r="F124" s="41" t="s">
        <v>4116</v>
      </c>
    </row>
    <row r="125" spans="1:10">
      <c r="D125" s="39">
        <v>2016</v>
      </c>
      <c r="F125" s="41" t="s">
        <v>286</v>
      </c>
    </row>
    <row r="126" spans="1:10">
      <c r="A126" s="665" t="s">
        <v>11270</v>
      </c>
      <c r="D126" s="668">
        <f t="shared" ref="D126" si="22">SUM(D127:D147)</f>
        <v>192118</v>
      </c>
    </row>
    <row r="127" spans="1:10">
      <c r="A127" s="665" t="s">
        <v>812</v>
      </c>
      <c r="B127" s="665" t="s">
        <v>11271</v>
      </c>
      <c r="C127" s="1" t="s">
        <v>11272</v>
      </c>
      <c r="D127" s="7">
        <v>8846</v>
      </c>
      <c r="F127" s="665" t="s">
        <v>11170</v>
      </c>
      <c r="H127" s="1"/>
      <c r="J127" s="1"/>
    </row>
    <row r="128" spans="1:10">
      <c r="A128" s="665" t="s">
        <v>813</v>
      </c>
      <c r="B128" s="665" t="s">
        <v>11273</v>
      </c>
      <c r="C128" s="1" t="s">
        <v>11274</v>
      </c>
      <c r="D128" s="7">
        <v>8670</v>
      </c>
      <c r="F128" s="665" t="s">
        <v>11173</v>
      </c>
      <c r="H128" s="1"/>
      <c r="J128" s="1"/>
    </row>
    <row r="129" spans="1:10">
      <c r="A129" s="665" t="s">
        <v>814</v>
      </c>
      <c r="B129" s="665" t="s">
        <v>11275</v>
      </c>
      <c r="C129" s="1" t="s">
        <v>11276</v>
      </c>
      <c r="D129" s="7">
        <v>9260</v>
      </c>
      <c r="F129" s="665" t="s">
        <v>11175</v>
      </c>
      <c r="H129" s="1"/>
      <c r="J129" s="1"/>
    </row>
    <row r="130" spans="1:10">
      <c r="A130" s="665" t="s">
        <v>815</v>
      </c>
      <c r="B130" s="665" t="s">
        <v>11277</v>
      </c>
      <c r="C130" s="1" t="s">
        <v>11278</v>
      </c>
      <c r="D130" s="7">
        <v>9477</v>
      </c>
      <c r="F130" s="665" t="s">
        <v>11170</v>
      </c>
      <c r="H130" s="1"/>
      <c r="J130" s="1"/>
    </row>
    <row r="131" spans="1:10">
      <c r="A131" s="665" t="s">
        <v>816</v>
      </c>
      <c r="B131" s="665" t="s">
        <v>11279</v>
      </c>
      <c r="C131" s="1" t="s">
        <v>11280</v>
      </c>
      <c r="D131" s="7">
        <v>9375</v>
      </c>
      <c r="F131" s="665" t="s">
        <v>11173</v>
      </c>
      <c r="H131" s="1"/>
      <c r="J131" s="1"/>
    </row>
    <row r="132" spans="1:10">
      <c r="A132" s="665" t="s">
        <v>826</v>
      </c>
      <c r="B132" s="665" t="s">
        <v>10684</v>
      </c>
      <c r="C132" s="1" t="s">
        <v>11281</v>
      </c>
      <c r="D132" s="7">
        <v>9509</v>
      </c>
      <c r="F132" s="665" t="s">
        <v>11170</v>
      </c>
      <c r="H132" s="1"/>
      <c r="J132" s="1"/>
    </row>
    <row r="133" spans="1:10">
      <c r="A133" s="665" t="s">
        <v>827</v>
      </c>
      <c r="B133" s="665" t="s">
        <v>11282</v>
      </c>
      <c r="C133" s="1" t="s">
        <v>11283</v>
      </c>
      <c r="D133" s="8">
        <v>9572</v>
      </c>
      <c r="F133" s="665" t="s">
        <v>11179</v>
      </c>
      <c r="H133" s="1"/>
      <c r="J133" s="1"/>
    </row>
    <row r="134" spans="1:10">
      <c r="A134" s="665" t="s">
        <v>828</v>
      </c>
      <c r="B134" s="665" t="s">
        <v>11284</v>
      </c>
      <c r="C134" s="1" t="s">
        <v>11285</v>
      </c>
      <c r="D134" s="7">
        <v>9143</v>
      </c>
      <c r="F134" s="665" t="s">
        <v>11177</v>
      </c>
      <c r="H134" s="1"/>
      <c r="J134" s="1"/>
    </row>
    <row r="135" spans="1:10">
      <c r="A135" s="665" t="s">
        <v>829</v>
      </c>
      <c r="B135" s="665" t="s">
        <v>11286</v>
      </c>
      <c r="C135" s="1" t="s">
        <v>11287</v>
      </c>
      <c r="D135" s="7">
        <v>8542</v>
      </c>
      <c r="F135" s="665" t="s">
        <v>11170</v>
      </c>
      <c r="H135" s="1"/>
      <c r="J135" s="1"/>
    </row>
    <row r="136" spans="1:10">
      <c r="A136" s="665" t="s">
        <v>830</v>
      </c>
      <c r="B136" s="665" t="s">
        <v>11288</v>
      </c>
      <c r="C136" s="1" t="s">
        <v>11289</v>
      </c>
      <c r="D136" s="8">
        <v>9262</v>
      </c>
      <c r="F136" s="665" t="s">
        <v>11179</v>
      </c>
      <c r="H136" s="1"/>
      <c r="J136" s="1"/>
    </row>
    <row r="137" spans="1:10">
      <c r="A137" s="665" t="s">
        <v>831</v>
      </c>
      <c r="B137" s="665" t="s">
        <v>11290</v>
      </c>
      <c r="C137" s="1" t="s">
        <v>11291</v>
      </c>
      <c r="D137" s="7">
        <v>9731</v>
      </c>
      <c r="F137" s="665" t="s">
        <v>11173</v>
      </c>
      <c r="H137" s="1"/>
      <c r="J137" s="1"/>
    </row>
    <row r="138" spans="1:10">
      <c r="A138" s="665" t="s">
        <v>832</v>
      </c>
      <c r="B138" s="665" t="s">
        <v>11292</v>
      </c>
      <c r="C138" s="1" t="s">
        <v>11293</v>
      </c>
      <c r="D138" s="7">
        <v>8361</v>
      </c>
      <c r="F138" s="665" t="s">
        <v>11173</v>
      </c>
      <c r="H138" s="1"/>
      <c r="J138" s="1"/>
    </row>
    <row r="139" spans="1:10">
      <c r="A139" s="665" t="s">
        <v>833</v>
      </c>
      <c r="B139" s="665" t="s">
        <v>11294</v>
      </c>
      <c r="C139" s="1" t="s">
        <v>11295</v>
      </c>
      <c r="D139" s="7">
        <v>8766</v>
      </c>
      <c r="F139" s="665" t="s">
        <v>11173</v>
      </c>
      <c r="H139" s="1"/>
      <c r="J139" s="1"/>
    </row>
    <row r="140" spans="1:10">
      <c r="A140" s="665" t="s">
        <v>834</v>
      </c>
      <c r="B140" s="665" t="s">
        <v>11296</v>
      </c>
      <c r="C140" s="1" t="s">
        <v>11297</v>
      </c>
      <c r="D140" s="8">
        <v>9331</v>
      </c>
      <c r="F140" s="665" t="s">
        <v>11179</v>
      </c>
      <c r="H140" s="1"/>
      <c r="J140" s="1"/>
    </row>
    <row r="141" spans="1:10">
      <c r="A141" s="665" t="s">
        <v>835</v>
      </c>
      <c r="B141" s="665" t="s">
        <v>11298</v>
      </c>
      <c r="C141" s="1" t="s">
        <v>11299</v>
      </c>
      <c r="D141" s="7">
        <v>9403</v>
      </c>
      <c r="F141" s="665" t="s">
        <v>11173</v>
      </c>
      <c r="H141" s="1"/>
      <c r="J141" s="1"/>
    </row>
    <row r="142" spans="1:10">
      <c r="A142" s="665" t="s">
        <v>836</v>
      </c>
      <c r="B142" s="665" t="s">
        <v>11300</v>
      </c>
      <c r="C142" s="1" t="s">
        <v>11301</v>
      </c>
      <c r="D142" s="8">
        <v>9009</v>
      </c>
      <c r="F142" s="665" t="s">
        <v>11179</v>
      </c>
      <c r="H142" s="1"/>
      <c r="J142" s="1"/>
    </row>
    <row r="143" spans="1:10">
      <c r="A143" s="665" t="s">
        <v>837</v>
      </c>
      <c r="B143" s="665" t="s">
        <v>919</v>
      </c>
      <c r="C143" s="1" t="s">
        <v>11302</v>
      </c>
      <c r="D143" s="7">
        <v>9166</v>
      </c>
      <c r="F143" s="665" t="s">
        <v>11173</v>
      </c>
      <c r="H143" s="1"/>
      <c r="J143" s="1"/>
    </row>
    <row r="144" spans="1:10">
      <c r="A144" s="665" t="s">
        <v>838</v>
      </c>
      <c r="B144" s="665" t="s">
        <v>11303</v>
      </c>
      <c r="C144" s="1" t="s">
        <v>11304</v>
      </c>
      <c r="D144" s="7">
        <v>8628</v>
      </c>
      <c r="F144" s="665" t="s">
        <v>11170</v>
      </c>
      <c r="H144" s="1"/>
      <c r="J144" s="1"/>
    </row>
    <row r="145" spans="1:10">
      <c r="A145" s="665" t="s">
        <v>840</v>
      </c>
      <c r="B145" s="665" t="s">
        <v>11305</v>
      </c>
      <c r="C145" s="1" t="s">
        <v>11306</v>
      </c>
      <c r="D145" s="8">
        <v>10317</v>
      </c>
      <c r="F145" s="665" t="s">
        <v>11179</v>
      </c>
      <c r="H145" s="1"/>
      <c r="J145" s="1"/>
    </row>
    <row r="146" spans="1:10">
      <c r="A146" s="665" t="s">
        <v>841</v>
      </c>
      <c r="B146" s="665" t="s">
        <v>11307</v>
      </c>
      <c r="C146" s="1" t="s">
        <v>11308</v>
      </c>
      <c r="D146" s="8">
        <v>9099</v>
      </c>
      <c r="F146" s="665" t="s">
        <v>11173</v>
      </c>
      <c r="H146" s="1"/>
      <c r="J146" s="1"/>
    </row>
    <row r="147" spans="1:10">
      <c r="A147" s="665" t="s">
        <v>878</v>
      </c>
      <c r="B147" s="665" t="s">
        <v>4198</v>
      </c>
      <c r="C147" s="1" t="s">
        <v>11309</v>
      </c>
      <c r="D147" s="7">
        <v>8651</v>
      </c>
      <c r="F147" s="665" t="s">
        <v>11179</v>
      </c>
      <c r="H147" s="1"/>
      <c r="J147" s="1"/>
    </row>
    <row r="148" spans="1:10">
      <c r="D148" s="669"/>
    </row>
    <row r="149" spans="1:10">
      <c r="A149" s="665" t="s">
        <v>11310</v>
      </c>
      <c r="D149" s="668">
        <f>D127+D130+D132+D135+D144</f>
        <v>45002</v>
      </c>
    </row>
    <row r="150" spans="1:10">
      <c r="A150" s="665" t="s">
        <v>11173</v>
      </c>
      <c r="D150" s="668">
        <f>D128+D131+SUM(D137:D139)+D141+D143+D146</f>
        <v>72571</v>
      </c>
    </row>
    <row r="151" spans="1:10">
      <c r="A151" s="665" t="s">
        <v>11311</v>
      </c>
      <c r="D151" s="668">
        <f>D129</f>
        <v>9260</v>
      </c>
    </row>
    <row r="152" spans="1:10">
      <c r="A152" s="665" t="s">
        <v>11312</v>
      </c>
      <c r="D152" s="668">
        <f>D134</f>
        <v>9143</v>
      </c>
    </row>
    <row r="153" spans="1:10">
      <c r="A153" s="665" t="s">
        <v>11225</v>
      </c>
      <c r="D153" s="668">
        <f>D133+D136+D140+D142+D145+D147</f>
        <v>56142</v>
      </c>
    </row>
    <row r="154" spans="1:10">
      <c r="A154" s="665"/>
      <c r="D154" s="668"/>
    </row>
    <row r="155" spans="1:10">
      <c r="A155" s="665" t="s">
        <v>11313</v>
      </c>
      <c r="D155" s="668"/>
    </row>
    <row r="156" spans="1:10">
      <c r="A156" s="665" t="s">
        <v>11314</v>
      </c>
      <c r="B156" s="665"/>
      <c r="D156" s="677"/>
    </row>
    <row r="157" spans="1:10">
      <c r="A157" s="665"/>
      <c r="B157" s="665"/>
      <c r="D157" s="677"/>
    </row>
    <row r="158" spans="1:10">
      <c r="A158" s="665"/>
      <c r="B158" s="665"/>
      <c r="D158" s="677"/>
    </row>
    <row r="159" spans="1:10">
      <c r="D159" s="10" t="s">
        <v>285</v>
      </c>
      <c r="E159" s="38"/>
      <c r="F159" s="41" t="s">
        <v>4116</v>
      </c>
    </row>
    <row r="160" spans="1:10">
      <c r="D160" s="39">
        <v>2016</v>
      </c>
      <c r="F160" s="41" t="s">
        <v>286</v>
      </c>
    </row>
    <row r="161" spans="1:10">
      <c r="A161" s="665" t="s">
        <v>11315</v>
      </c>
      <c r="D161" s="668">
        <f t="shared" ref="D161" si="23">SUM(D162:D189)</f>
        <v>381430</v>
      </c>
    </row>
    <row r="162" spans="1:10">
      <c r="A162" s="665" t="s">
        <v>812</v>
      </c>
      <c r="B162" s="665" t="s">
        <v>11316</v>
      </c>
      <c r="C162" s="1" t="s">
        <v>11317</v>
      </c>
      <c r="D162" s="13">
        <v>12436</v>
      </c>
      <c r="F162" s="665" t="s">
        <v>11178</v>
      </c>
      <c r="H162" s="1"/>
      <c r="J162" s="1"/>
    </row>
    <row r="163" spans="1:10">
      <c r="A163" s="665" t="s">
        <v>813</v>
      </c>
      <c r="B163" s="665" t="s">
        <v>11318</v>
      </c>
      <c r="C163" s="1" t="s">
        <v>11319</v>
      </c>
      <c r="D163" s="13">
        <v>13500</v>
      </c>
      <c r="F163" s="665" t="s">
        <v>11176</v>
      </c>
      <c r="H163" s="1"/>
      <c r="J163" s="1"/>
    </row>
    <row r="164" spans="1:10">
      <c r="A164" s="665" t="s">
        <v>814</v>
      </c>
      <c r="B164" s="665" t="s">
        <v>11320</v>
      </c>
      <c r="C164" s="1" t="s">
        <v>11321</v>
      </c>
      <c r="D164" s="13">
        <v>13027</v>
      </c>
      <c r="F164" s="665" t="s">
        <v>11170</v>
      </c>
      <c r="H164" s="1"/>
      <c r="J164" s="1"/>
    </row>
    <row r="165" spans="1:10">
      <c r="A165" s="665" t="s">
        <v>815</v>
      </c>
      <c r="B165" s="665" t="s">
        <v>11322</v>
      </c>
      <c r="C165" s="1" t="s">
        <v>11323</v>
      </c>
      <c r="D165" s="13">
        <v>12591</v>
      </c>
      <c r="F165" s="665" t="s">
        <v>11178</v>
      </c>
      <c r="H165" s="1"/>
      <c r="J165" s="1"/>
    </row>
    <row r="166" spans="1:10">
      <c r="A166" s="665" t="s">
        <v>816</v>
      </c>
      <c r="B166" s="665" t="s">
        <v>5848</v>
      </c>
      <c r="C166" s="1" t="s">
        <v>11324</v>
      </c>
      <c r="D166" s="13">
        <v>13623</v>
      </c>
      <c r="F166" s="665" t="s">
        <v>11174</v>
      </c>
      <c r="H166" s="1"/>
      <c r="J166" s="1"/>
    </row>
    <row r="167" spans="1:10">
      <c r="A167" s="665" t="s">
        <v>826</v>
      </c>
      <c r="B167" s="665" t="s">
        <v>11325</v>
      </c>
      <c r="C167" s="1" t="s">
        <v>11326</v>
      </c>
      <c r="D167" s="13">
        <v>13617</v>
      </c>
      <c r="F167" s="665" t="s">
        <v>11175</v>
      </c>
      <c r="H167" s="1"/>
      <c r="J167" s="1"/>
    </row>
    <row r="168" spans="1:10">
      <c r="A168" s="665" t="s">
        <v>827</v>
      </c>
      <c r="B168" s="665" t="s">
        <v>888</v>
      </c>
      <c r="C168" s="1" t="s">
        <v>11327</v>
      </c>
      <c r="D168" s="13">
        <v>14193</v>
      </c>
      <c r="F168" s="665" t="s">
        <v>11174</v>
      </c>
      <c r="H168" s="1"/>
      <c r="J168" s="1"/>
    </row>
    <row r="169" spans="1:10">
      <c r="A169" s="665" t="s">
        <v>828</v>
      </c>
      <c r="B169" s="665" t="s">
        <v>11328</v>
      </c>
      <c r="C169" s="1" t="s">
        <v>11329</v>
      </c>
      <c r="D169" s="13">
        <v>14944</v>
      </c>
      <c r="F169" s="665" t="s">
        <v>11174</v>
      </c>
      <c r="H169" s="1"/>
      <c r="J169" s="1"/>
    </row>
    <row r="170" spans="1:10">
      <c r="A170" s="665" t="s">
        <v>829</v>
      </c>
      <c r="B170" s="665" t="s">
        <v>11330</v>
      </c>
      <c r="C170" s="1" t="s">
        <v>11331</v>
      </c>
      <c r="D170" s="13">
        <v>14743</v>
      </c>
      <c r="F170" s="665" t="s">
        <v>11175</v>
      </c>
      <c r="H170" s="1"/>
      <c r="J170" s="1"/>
    </row>
    <row r="171" spans="1:10">
      <c r="A171" s="665" t="s">
        <v>830</v>
      </c>
      <c r="B171" s="665" t="s">
        <v>11332</v>
      </c>
      <c r="C171" s="1" t="s">
        <v>11333</v>
      </c>
      <c r="D171" s="13">
        <v>13381</v>
      </c>
      <c r="F171" s="665" t="s">
        <v>11176</v>
      </c>
      <c r="H171" s="1"/>
      <c r="J171" s="1"/>
    </row>
    <row r="172" spans="1:10">
      <c r="A172" s="665" t="s">
        <v>831</v>
      </c>
      <c r="B172" s="665" t="s">
        <v>11334</v>
      </c>
      <c r="C172" s="1" t="s">
        <v>11335</v>
      </c>
      <c r="D172" s="13">
        <v>14187</v>
      </c>
      <c r="F172" s="665" t="s">
        <v>11177</v>
      </c>
      <c r="H172" s="1"/>
      <c r="J172" s="1"/>
    </row>
    <row r="173" spans="1:10">
      <c r="A173" s="665" t="s">
        <v>832</v>
      </c>
      <c r="B173" s="665" t="s">
        <v>11336</v>
      </c>
      <c r="C173" s="1" t="s">
        <v>11337</v>
      </c>
      <c r="D173" s="13">
        <v>14723</v>
      </c>
      <c r="F173" s="665" t="s">
        <v>11174</v>
      </c>
      <c r="H173" s="1"/>
      <c r="J173" s="1"/>
    </row>
    <row r="174" spans="1:10">
      <c r="A174" s="665" t="s">
        <v>833</v>
      </c>
      <c r="B174" s="665" t="s">
        <v>11338</v>
      </c>
      <c r="C174" s="1" t="s">
        <v>11339</v>
      </c>
      <c r="D174" s="13">
        <v>13772</v>
      </c>
      <c r="F174" s="665" t="s">
        <v>11177</v>
      </c>
      <c r="H174" s="1"/>
      <c r="J174" s="1"/>
    </row>
    <row r="175" spans="1:10">
      <c r="A175" s="665" t="s">
        <v>834</v>
      </c>
      <c r="B175" s="665" t="s">
        <v>11340</v>
      </c>
      <c r="C175" s="1" t="s">
        <v>11341</v>
      </c>
      <c r="D175" s="13">
        <v>12944</v>
      </c>
      <c r="F175" s="665" t="s">
        <v>11176</v>
      </c>
      <c r="H175" s="1"/>
      <c r="J175" s="1"/>
    </row>
    <row r="176" spans="1:10">
      <c r="A176" s="665" t="s">
        <v>835</v>
      </c>
      <c r="B176" s="665" t="s">
        <v>11342</v>
      </c>
      <c r="C176" s="1" t="s">
        <v>11343</v>
      </c>
      <c r="D176" s="13">
        <v>13722</v>
      </c>
      <c r="F176" s="665" t="s">
        <v>11178</v>
      </c>
      <c r="H176" s="1"/>
      <c r="J176" s="1"/>
    </row>
    <row r="177" spans="1:10">
      <c r="A177" s="665" t="s">
        <v>836</v>
      </c>
      <c r="B177" s="665" t="s">
        <v>11344</v>
      </c>
      <c r="C177" s="1" t="s">
        <v>11345</v>
      </c>
      <c r="D177" s="13">
        <v>13160</v>
      </c>
      <c r="F177" s="665" t="s">
        <v>11178</v>
      </c>
      <c r="H177" s="1"/>
      <c r="J177" s="1"/>
    </row>
    <row r="178" spans="1:10">
      <c r="A178" s="665" t="s">
        <v>837</v>
      </c>
      <c r="B178" s="665" t="s">
        <v>11346</v>
      </c>
      <c r="C178" s="1" t="s">
        <v>11347</v>
      </c>
      <c r="D178" s="13">
        <v>13707</v>
      </c>
      <c r="F178" s="665" t="s">
        <v>11177</v>
      </c>
      <c r="H178" s="1"/>
      <c r="J178" s="1"/>
    </row>
    <row r="179" spans="1:10">
      <c r="A179" s="665" t="s">
        <v>838</v>
      </c>
      <c r="B179" s="665" t="s">
        <v>11348</v>
      </c>
      <c r="C179" s="1" t="s">
        <v>11349</v>
      </c>
      <c r="D179" s="13">
        <v>12509</v>
      </c>
      <c r="F179" s="665" t="s">
        <v>11178</v>
      </c>
      <c r="H179" s="1"/>
      <c r="J179" s="1"/>
    </row>
    <row r="180" spans="1:10">
      <c r="A180" s="665" t="s">
        <v>840</v>
      </c>
      <c r="B180" s="665" t="s">
        <v>11350</v>
      </c>
      <c r="C180" s="1" t="s">
        <v>11351</v>
      </c>
      <c r="D180" s="13">
        <v>13490</v>
      </c>
      <c r="F180" s="665" t="s">
        <v>11170</v>
      </c>
      <c r="H180" s="1"/>
      <c r="J180" s="1"/>
    </row>
    <row r="181" spans="1:10">
      <c r="A181" s="665" t="s">
        <v>841</v>
      </c>
      <c r="B181" s="665" t="s">
        <v>11352</v>
      </c>
      <c r="C181" s="1" t="s">
        <v>11353</v>
      </c>
      <c r="D181" s="13">
        <v>13377</v>
      </c>
      <c r="F181" s="665" t="s">
        <v>11178</v>
      </c>
      <c r="H181" s="1"/>
      <c r="J181" s="1"/>
    </row>
    <row r="182" spans="1:10">
      <c r="A182" s="665" t="s">
        <v>878</v>
      </c>
      <c r="B182" s="665" t="s">
        <v>11354</v>
      </c>
      <c r="C182" s="1" t="s">
        <v>11355</v>
      </c>
      <c r="D182" s="13">
        <v>13039</v>
      </c>
      <c r="F182" s="665" t="s">
        <v>11175</v>
      </c>
      <c r="H182" s="1"/>
      <c r="J182" s="1"/>
    </row>
    <row r="183" spans="1:10">
      <c r="A183" s="665" t="s">
        <v>879</v>
      </c>
      <c r="B183" s="665" t="s">
        <v>11356</v>
      </c>
      <c r="C183" s="1" t="s">
        <v>11357</v>
      </c>
      <c r="D183" s="13">
        <v>13576</v>
      </c>
      <c r="F183" s="665" t="s">
        <v>11175</v>
      </c>
      <c r="H183" s="1"/>
      <c r="J183" s="1"/>
    </row>
    <row r="184" spans="1:10">
      <c r="A184" s="665" t="s">
        <v>880</v>
      </c>
      <c r="B184" s="665" t="s">
        <v>11358</v>
      </c>
      <c r="C184" s="1" t="s">
        <v>11359</v>
      </c>
      <c r="D184" s="13">
        <v>13045</v>
      </c>
      <c r="F184" s="665" t="s">
        <v>11177</v>
      </c>
      <c r="H184" s="1"/>
      <c r="J184" s="1"/>
    </row>
    <row r="185" spans="1:10">
      <c r="A185" s="665" t="s">
        <v>721</v>
      </c>
      <c r="B185" s="665" t="s">
        <v>11360</v>
      </c>
      <c r="C185" s="1" t="s">
        <v>11361</v>
      </c>
      <c r="D185" s="13">
        <v>14423</v>
      </c>
      <c r="F185" s="665" t="s">
        <v>11176</v>
      </c>
      <c r="H185" s="1"/>
      <c r="J185" s="1"/>
    </row>
    <row r="186" spans="1:10">
      <c r="A186" s="665" t="s">
        <v>722</v>
      </c>
      <c r="B186" s="665" t="s">
        <v>11362</v>
      </c>
      <c r="C186" s="1" t="s">
        <v>11363</v>
      </c>
      <c r="D186" s="13">
        <v>14329</v>
      </c>
      <c r="F186" s="665" t="s">
        <v>11176</v>
      </c>
      <c r="H186" s="1"/>
      <c r="J186" s="1"/>
    </row>
    <row r="187" spans="1:10">
      <c r="A187" s="665" t="s">
        <v>723</v>
      </c>
      <c r="B187" s="665" t="s">
        <v>11364</v>
      </c>
      <c r="C187" s="1" t="s">
        <v>11365</v>
      </c>
      <c r="D187" s="13">
        <v>14215</v>
      </c>
      <c r="F187" s="665" t="s">
        <v>11174</v>
      </c>
      <c r="H187" s="1"/>
      <c r="J187" s="1"/>
    </row>
    <row r="188" spans="1:10">
      <c r="A188" s="665" t="s">
        <v>733</v>
      </c>
      <c r="B188" s="665" t="s">
        <v>11366</v>
      </c>
      <c r="C188" s="1" t="s">
        <v>11367</v>
      </c>
      <c r="D188" s="13">
        <v>14021</v>
      </c>
      <c r="F188" s="665" t="s">
        <v>11177</v>
      </c>
      <c r="H188" s="1"/>
      <c r="J188" s="1"/>
    </row>
    <row r="189" spans="1:10">
      <c r="A189" s="665" t="s">
        <v>734</v>
      </c>
      <c r="B189" s="665" t="s">
        <v>5904</v>
      </c>
      <c r="C189" s="1" t="s">
        <v>11368</v>
      </c>
      <c r="D189" s="13">
        <v>13136</v>
      </c>
      <c r="F189" s="665" t="s">
        <v>11175</v>
      </c>
      <c r="H189" s="1"/>
      <c r="J189" s="1"/>
    </row>
    <row r="190" spans="1:10">
      <c r="D190" s="669"/>
    </row>
    <row r="191" spans="1:10">
      <c r="A191" s="665" t="s">
        <v>11310</v>
      </c>
      <c r="D191" s="668">
        <f>D164+D180</f>
        <v>26517</v>
      </c>
    </row>
    <row r="192" spans="1:10">
      <c r="A192" s="665" t="s">
        <v>11174</v>
      </c>
      <c r="D192" s="668">
        <f>D166+D168+D169+D173+D187</f>
        <v>71698</v>
      </c>
    </row>
    <row r="193" spans="1:5">
      <c r="A193" s="665" t="s">
        <v>11311</v>
      </c>
      <c r="D193" s="668">
        <f>D167+D170+D182+D183+D189</f>
        <v>68111</v>
      </c>
    </row>
    <row r="194" spans="1:5">
      <c r="A194" s="665" t="s">
        <v>11224</v>
      </c>
      <c r="D194" s="668">
        <f>D163+D171+D175+D185+D186</f>
        <v>68577</v>
      </c>
    </row>
    <row r="195" spans="1:5">
      <c r="A195" s="665" t="s">
        <v>11312</v>
      </c>
      <c r="D195" s="668">
        <f>D172+D174+D178+D184+D188</f>
        <v>68732</v>
      </c>
    </row>
    <row r="196" spans="1:5">
      <c r="A196" s="665" t="s">
        <v>11178</v>
      </c>
      <c r="D196" s="668">
        <f>D162+D165+D176+D177+D179+D181</f>
        <v>77795</v>
      </c>
      <c r="E196" s="668"/>
    </row>
    <row r="198" spans="1:5">
      <c r="A198" s="666" t="s">
        <v>11369</v>
      </c>
    </row>
  </sheetData>
  <printOptions gridLinesSet="0"/>
  <pageMargins left="0.78740157480314965" right="0" top="0.51181102362204722" bottom="0.51181102362204722" header="0.51181102362204722" footer="0.51181102362204722"/>
  <pageSetup paperSize="9" scale="73" orientation="portrait" horizontalDpi="300" verticalDpi="300" r:id="rId1"/>
  <headerFooter alignWithMargins="0">
    <oddFooter>&amp;C&amp;"Times New Roman,Regular"&amp;8&amp;P of &amp;N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6"/>
  <sheetViews>
    <sheetView showGridLines="0" zoomScaleNormal="100" workbookViewId="0"/>
  </sheetViews>
  <sheetFormatPr defaultColWidth="12.59765625" defaultRowHeight="14.5"/>
  <cols>
    <col min="1" max="1" width="4.8984375" style="612" customWidth="1"/>
    <col min="2" max="2" width="40.69921875" style="612" customWidth="1"/>
    <col min="3" max="3" width="11.59765625" style="612" customWidth="1"/>
    <col min="4" max="4" width="9.8984375" style="612" customWidth="1"/>
    <col min="5" max="5" width="2.296875" style="612" customWidth="1"/>
    <col min="6" max="6" width="37" style="612" customWidth="1"/>
    <col min="7" max="16384" width="12.59765625" style="612"/>
  </cols>
  <sheetData>
    <row r="1" spans="1:6">
      <c r="A1" s="569" t="s">
        <v>9176</v>
      </c>
      <c r="D1" s="613">
        <v>2016</v>
      </c>
    </row>
    <row r="3" spans="1:6">
      <c r="A3" s="569" t="s">
        <v>10335</v>
      </c>
      <c r="D3" s="614">
        <f t="shared" ref="D3" si="0">SUM(D23:D43)</f>
        <v>186580</v>
      </c>
    </row>
    <row r="5" spans="1:6">
      <c r="A5" s="569" t="s">
        <v>10078</v>
      </c>
      <c r="D5" s="612">
        <f>LAMBETH!D9</f>
        <v>6094</v>
      </c>
      <c r="F5" s="612" t="s">
        <v>9502</v>
      </c>
    </row>
    <row r="6" spans="1:6" ht="15" thickBot="1">
      <c r="D6" s="615">
        <f>D25+D26+D29+D31+SUM(D37:D39)+D41</f>
        <v>70741</v>
      </c>
      <c r="F6" s="569" t="s">
        <v>10079</v>
      </c>
    </row>
    <row r="7" spans="1:6" ht="15" thickBot="1">
      <c r="D7" s="616">
        <f>D5+D6</f>
        <v>76835</v>
      </c>
      <c r="F7" s="569"/>
    </row>
    <row r="8" spans="1:6">
      <c r="D8" s="617"/>
    </row>
    <row r="9" spans="1:6">
      <c r="A9" s="569" t="s">
        <v>10080</v>
      </c>
      <c r="D9" s="617">
        <f>LAMBETH!D13</f>
        <v>19252</v>
      </c>
      <c r="F9" s="612" t="s">
        <v>9502</v>
      </c>
    </row>
    <row r="10" spans="1:6" ht="15" thickBot="1">
      <c r="D10" s="615">
        <f>D23+D24+D30+D32+D33+D35</f>
        <v>52055</v>
      </c>
      <c r="F10" s="569" t="s">
        <v>10079</v>
      </c>
    </row>
    <row r="11" spans="1:6" ht="15" thickBot="1">
      <c r="A11" s="569"/>
      <c r="D11" s="616">
        <f>D9+D10</f>
        <v>71307</v>
      </c>
      <c r="F11" s="569"/>
    </row>
    <row r="12" spans="1:6">
      <c r="D12" s="617"/>
    </row>
    <row r="13" spans="1:6">
      <c r="A13" s="569" t="s">
        <v>10082</v>
      </c>
      <c r="D13" s="614">
        <f>LAMBETH!D19</f>
        <v>37337</v>
      </c>
      <c r="F13" s="569" t="s">
        <v>9502</v>
      </c>
    </row>
    <row r="14" spans="1:6" ht="15" thickBot="1">
      <c r="D14" s="615">
        <f>D27+D28+D40+D43</f>
        <v>34502</v>
      </c>
      <c r="F14" s="569" t="s">
        <v>10079</v>
      </c>
    </row>
    <row r="15" spans="1:6" ht="15" thickBot="1">
      <c r="D15" s="615">
        <f t="shared" ref="D15" si="1">D13+D14</f>
        <v>71839</v>
      </c>
    </row>
    <row r="16" spans="1:6">
      <c r="D16" s="618"/>
    </row>
    <row r="17" spans="1:10">
      <c r="A17" s="576" t="s">
        <v>10127</v>
      </c>
      <c r="D17" s="618">
        <f>LEWISHAM!D11</f>
        <v>48074</v>
      </c>
      <c r="F17" s="612" t="s">
        <v>9651</v>
      </c>
    </row>
    <row r="18" spans="1:10" ht="15" thickBot="1">
      <c r="D18" s="615">
        <f>D34+D36+D42</f>
        <v>29282</v>
      </c>
      <c r="F18" s="569" t="s">
        <v>10079</v>
      </c>
    </row>
    <row r="19" spans="1:10" ht="15" thickBot="1">
      <c r="D19" s="616">
        <f>D17+D18</f>
        <v>77356</v>
      </c>
    </row>
    <row r="20" spans="1:10">
      <c r="D20" s="617"/>
    </row>
    <row r="21" spans="1:10">
      <c r="A21" s="569" t="s">
        <v>1041</v>
      </c>
      <c r="D21" s="614">
        <f>D6+D10+D14+D18</f>
        <v>186580</v>
      </c>
    </row>
    <row r="22" spans="1:10">
      <c r="D22" s="617"/>
    </row>
    <row r="23" spans="1:10">
      <c r="A23" s="569" t="s">
        <v>812</v>
      </c>
      <c r="B23" s="569" t="s">
        <v>9223</v>
      </c>
      <c r="C23" s="292" t="s">
        <v>10336</v>
      </c>
      <c r="D23" s="293">
        <v>8656</v>
      </c>
      <c r="F23" s="569" t="s">
        <v>10080</v>
      </c>
      <c r="H23" s="292"/>
      <c r="J23" s="292"/>
    </row>
    <row r="24" spans="1:10">
      <c r="A24" s="569" t="s">
        <v>813</v>
      </c>
      <c r="B24" s="569" t="s">
        <v>10337</v>
      </c>
      <c r="C24" s="292" t="s">
        <v>10338</v>
      </c>
      <c r="D24" s="293">
        <v>9134</v>
      </c>
      <c r="F24" s="569" t="s">
        <v>10080</v>
      </c>
      <c r="H24" s="292"/>
      <c r="J24" s="292"/>
    </row>
    <row r="25" spans="1:10">
      <c r="A25" s="569" t="s">
        <v>814</v>
      </c>
      <c r="B25" s="569" t="s">
        <v>10339</v>
      </c>
      <c r="C25" s="292" t="s">
        <v>10340</v>
      </c>
      <c r="D25" s="293">
        <v>9551</v>
      </c>
      <c r="F25" s="569" t="s">
        <v>10078</v>
      </c>
      <c r="H25" s="292"/>
      <c r="J25" s="292"/>
    </row>
    <row r="26" spans="1:10">
      <c r="A26" s="569" t="s">
        <v>815</v>
      </c>
      <c r="B26" s="569" t="s">
        <v>8630</v>
      </c>
      <c r="C26" s="292" t="s">
        <v>10341</v>
      </c>
      <c r="D26" s="293">
        <v>9361</v>
      </c>
      <c r="F26" s="569" t="s">
        <v>10078</v>
      </c>
      <c r="H26" s="292"/>
      <c r="J26" s="292"/>
    </row>
    <row r="27" spans="1:10">
      <c r="A27" s="569" t="s">
        <v>816</v>
      </c>
      <c r="B27" s="569" t="s">
        <v>246</v>
      </c>
      <c r="C27" s="292" t="s">
        <v>10342</v>
      </c>
      <c r="D27" s="295">
        <v>8312</v>
      </c>
      <c r="F27" s="569" t="s">
        <v>10082</v>
      </c>
      <c r="H27" s="292"/>
      <c r="J27" s="292"/>
    </row>
    <row r="28" spans="1:10">
      <c r="A28" s="569" t="s">
        <v>826</v>
      </c>
      <c r="B28" s="569" t="s">
        <v>10343</v>
      </c>
      <c r="C28" s="292" t="s">
        <v>10344</v>
      </c>
      <c r="D28" s="295">
        <v>9127</v>
      </c>
      <c r="F28" s="569" t="s">
        <v>10082</v>
      </c>
      <c r="H28" s="292"/>
      <c r="J28" s="292"/>
    </row>
    <row r="29" spans="1:10">
      <c r="A29" s="569" t="s">
        <v>827</v>
      </c>
      <c r="B29" s="569" t="s">
        <v>10345</v>
      </c>
      <c r="C29" s="292" t="s">
        <v>10346</v>
      </c>
      <c r="D29" s="293">
        <v>7317</v>
      </c>
      <c r="F29" s="569" t="s">
        <v>10078</v>
      </c>
      <c r="H29" s="292"/>
      <c r="J29" s="292"/>
    </row>
    <row r="30" spans="1:10">
      <c r="A30" s="569" t="s">
        <v>828</v>
      </c>
      <c r="B30" s="569" t="s">
        <v>10347</v>
      </c>
      <c r="C30" s="292" t="s">
        <v>10348</v>
      </c>
      <c r="D30" s="293">
        <v>6882</v>
      </c>
      <c r="F30" s="569" t="s">
        <v>10080</v>
      </c>
      <c r="H30" s="292"/>
      <c r="J30" s="292"/>
    </row>
    <row r="31" spans="1:10">
      <c r="A31" s="569" t="s">
        <v>829</v>
      </c>
      <c r="B31" s="569" t="s">
        <v>1009</v>
      </c>
      <c r="C31" s="292" t="s">
        <v>10349</v>
      </c>
      <c r="D31" s="293">
        <v>10308</v>
      </c>
      <c r="F31" s="569" t="s">
        <v>10078</v>
      </c>
      <c r="H31" s="292"/>
      <c r="J31" s="292"/>
    </row>
    <row r="32" spans="1:10">
      <c r="A32" s="569" t="s">
        <v>830</v>
      </c>
      <c r="B32" s="569" t="s">
        <v>10350</v>
      </c>
      <c r="C32" s="292" t="s">
        <v>10351</v>
      </c>
      <c r="D32" s="293">
        <v>8669</v>
      </c>
      <c r="F32" s="569" t="s">
        <v>10080</v>
      </c>
      <c r="H32" s="292"/>
      <c r="J32" s="292"/>
    </row>
    <row r="33" spans="1:10">
      <c r="A33" s="569" t="s">
        <v>831</v>
      </c>
      <c r="B33" s="569" t="s">
        <v>10352</v>
      </c>
      <c r="C33" s="292" t="s">
        <v>10353</v>
      </c>
      <c r="D33" s="293">
        <v>9433</v>
      </c>
      <c r="F33" s="569" t="s">
        <v>10080</v>
      </c>
      <c r="H33" s="292"/>
      <c r="J33" s="292"/>
    </row>
    <row r="34" spans="1:10">
      <c r="A34" s="569" t="s">
        <v>832</v>
      </c>
      <c r="B34" s="569" t="s">
        <v>10354</v>
      </c>
      <c r="C34" s="292" t="s">
        <v>10355</v>
      </c>
      <c r="D34" s="293">
        <v>9269</v>
      </c>
      <c r="F34" s="576" t="s">
        <v>10127</v>
      </c>
      <c r="H34" s="292"/>
      <c r="J34" s="292"/>
    </row>
    <row r="35" spans="1:10">
      <c r="A35" s="569" t="s">
        <v>833</v>
      </c>
      <c r="B35" s="569" t="s">
        <v>10356</v>
      </c>
      <c r="C35" s="292" t="s">
        <v>10357</v>
      </c>
      <c r="D35" s="293">
        <v>9281</v>
      </c>
      <c r="F35" s="569" t="s">
        <v>10080</v>
      </c>
      <c r="H35" s="292"/>
      <c r="J35" s="292"/>
    </row>
    <row r="36" spans="1:10">
      <c r="A36" s="569" t="s">
        <v>834</v>
      </c>
      <c r="B36" s="569" t="s">
        <v>10358</v>
      </c>
      <c r="C36" s="292" t="s">
        <v>10359</v>
      </c>
      <c r="D36" s="295">
        <v>9463</v>
      </c>
      <c r="F36" s="576" t="s">
        <v>10127</v>
      </c>
      <c r="H36" s="292"/>
      <c r="J36" s="292"/>
    </row>
    <row r="37" spans="1:10">
      <c r="A37" s="569" t="s">
        <v>835</v>
      </c>
      <c r="B37" s="569" t="s">
        <v>5476</v>
      </c>
      <c r="C37" s="292" t="s">
        <v>10360</v>
      </c>
      <c r="D37" s="293">
        <v>9177</v>
      </c>
      <c r="F37" s="569" t="s">
        <v>10078</v>
      </c>
      <c r="H37" s="292"/>
      <c r="J37" s="292"/>
    </row>
    <row r="38" spans="1:10">
      <c r="A38" s="569" t="s">
        <v>836</v>
      </c>
      <c r="B38" s="569" t="s">
        <v>10361</v>
      </c>
      <c r="C38" s="292" t="s">
        <v>10362</v>
      </c>
      <c r="D38" s="293">
        <v>8634</v>
      </c>
      <c r="F38" s="569" t="s">
        <v>10078</v>
      </c>
      <c r="H38" s="292"/>
      <c r="J38" s="292"/>
    </row>
    <row r="39" spans="1:10">
      <c r="A39" s="569" t="s">
        <v>837</v>
      </c>
      <c r="B39" s="569" t="s">
        <v>10363</v>
      </c>
      <c r="C39" s="292" t="s">
        <v>10364</v>
      </c>
      <c r="D39" s="293">
        <v>8148</v>
      </c>
      <c r="F39" s="569" t="s">
        <v>10078</v>
      </c>
      <c r="H39" s="292"/>
      <c r="J39" s="292"/>
    </row>
    <row r="40" spans="1:10">
      <c r="A40" s="569" t="s">
        <v>838</v>
      </c>
      <c r="B40" s="569" t="s">
        <v>10365</v>
      </c>
      <c r="C40" s="292" t="s">
        <v>10366</v>
      </c>
      <c r="D40" s="295">
        <v>8471</v>
      </c>
      <c r="F40" s="569" t="s">
        <v>10082</v>
      </c>
      <c r="H40" s="292"/>
      <c r="J40" s="292"/>
    </row>
    <row r="41" spans="1:10">
      <c r="A41" s="569" t="s">
        <v>840</v>
      </c>
      <c r="B41" s="569" t="s">
        <v>10367</v>
      </c>
      <c r="C41" s="292" t="s">
        <v>10368</v>
      </c>
      <c r="D41" s="293">
        <v>8245</v>
      </c>
      <c r="F41" s="569" t="s">
        <v>10078</v>
      </c>
      <c r="H41" s="292"/>
      <c r="J41" s="292"/>
    </row>
    <row r="42" spans="1:10">
      <c r="A42" s="569" t="s">
        <v>841</v>
      </c>
      <c r="B42" s="569" t="s">
        <v>10369</v>
      </c>
      <c r="C42" s="292" t="s">
        <v>10370</v>
      </c>
      <c r="D42" s="295">
        <v>10550</v>
      </c>
      <c r="F42" s="576" t="s">
        <v>10127</v>
      </c>
      <c r="H42" s="292"/>
      <c r="J42" s="292"/>
    </row>
    <row r="43" spans="1:10">
      <c r="A43" s="569" t="s">
        <v>878</v>
      </c>
      <c r="B43" s="569" t="s">
        <v>6189</v>
      </c>
      <c r="C43" s="292" t="s">
        <v>10371</v>
      </c>
      <c r="D43" s="295">
        <v>8592</v>
      </c>
      <c r="F43" s="569" t="s">
        <v>10082</v>
      </c>
      <c r="H43" s="292"/>
      <c r="J43" s="292"/>
    </row>
    <row r="45" spans="1:10">
      <c r="A45" s="612" t="s">
        <v>10372</v>
      </c>
    </row>
    <row r="46" spans="1:10">
      <c r="A46" s="612" t="s">
        <v>10373</v>
      </c>
    </row>
  </sheetData>
  <printOptions gridLinesSet="0"/>
  <pageMargins left="0.78740157480314965" right="0" top="0.51181102362204722" bottom="0.51181102362204722" header="0.51181102362204722" footer="0.51181102362204722"/>
  <pageSetup paperSize="9" scale="68" orientation="portrait" horizontalDpi="300" verticalDpi="300" r:id="rId1"/>
  <headerFooter alignWithMargins="0">
    <oddFooter>&amp;C&amp;"Times New Roman,Regular"&amp;8&amp;P of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347"/>
  <sheetViews>
    <sheetView showGridLines="0" zoomScaleNormal="100" workbookViewId="0"/>
  </sheetViews>
  <sheetFormatPr defaultColWidth="12.59765625" defaultRowHeight="14.5"/>
  <cols>
    <col min="1" max="1" width="4.8984375" style="169" customWidth="1"/>
    <col min="2" max="2" width="45.69921875" style="169" customWidth="1"/>
    <col min="3" max="3" width="11.59765625" style="169" customWidth="1"/>
    <col min="4" max="4" width="10" style="169" customWidth="1"/>
    <col min="5" max="5" width="2.296875" style="169" customWidth="1"/>
    <col min="6" max="6" width="33.09765625" style="169" customWidth="1"/>
    <col min="7" max="16384" width="12.59765625" style="169"/>
  </cols>
  <sheetData>
    <row r="1" spans="1:6">
      <c r="A1" s="168" t="s">
        <v>1075</v>
      </c>
      <c r="D1" s="170">
        <v>2016</v>
      </c>
    </row>
    <row r="3" spans="1:6">
      <c r="A3" s="168" t="s">
        <v>2698</v>
      </c>
      <c r="C3" s="168"/>
      <c r="D3" s="171">
        <f t="shared" ref="D3" si="0">SUM(D7:D14)</f>
        <v>635470</v>
      </c>
    </row>
    <row r="4" spans="1:6" ht="15" thickBot="1">
      <c r="A4" s="168" t="s">
        <v>2699</v>
      </c>
      <c r="C4" s="168"/>
      <c r="D4" s="172">
        <f t="shared" ref="D4" si="1">D59</f>
        <v>179857</v>
      </c>
    </row>
    <row r="5" spans="1:6" ht="15" thickBot="1">
      <c r="D5" s="172">
        <f t="shared" ref="D5" si="2">D3+D4</f>
        <v>815327</v>
      </c>
    </row>
    <row r="6" spans="1:6">
      <c r="D6" s="173"/>
    </row>
    <row r="7" spans="1:6">
      <c r="A7" s="168" t="s">
        <v>2700</v>
      </c>
      <c r="C7" s="168"/>
      <c r="D7" s="171">
        <f t="shared" ref="D7" si="3">D107</f>
        <v>73470</v>
      </c>
      <c r="F7" s="174"/>
    </row>
    <row r="8" spans="1:6">
      <c r="A8" s="168" t="s">
        <v>2701</v>
      </c>
      <c r="C8" s="168"/>
      <c r="D8" s="171">
        <f t="shared" ref="D8" si="4">D131</f>
        <v>81297</v>
      </c>
      <c r="F8" s="174"/>
    </row>
    <row r="9" spans="1:6">
      <c r="A9" s="168" t="s">
        <v>2702</v>
      </c>
      <c r="C9" s="168"/>
      <c r="D9" s="171">
        <f t="shared" ref="D9" si="5">D162</f>
        <v>77591</v>
      </c>
      <c r="F9" s="174"/>
    </row>
    <row r="10" spans="1:6">
      <c r="A10" s="168" t="s">
        <v>2703</v>
      </c>
      <c r="C10" s="168"/>
      <c r="D10" s="171">
        <f t="shared" ref="D10" si="6">D194</f>
        <v>89247</v>
      </c>
      <c r="F10" s="174"/>
    </row>
    <row r="11" spans="1:6">
      <c r="A11" s="168" t="s">
        <v>2704</v>
      </c>
      <c r="C11" s="168"/>
      <c r="D11" s="171">
        <f t="shared" ref="D11" si="7">D228</f>
        <v>83407</v>
      </c>
      <c r="F11" s="174"/>
    </row>
    <row r="12" spans="1:6">
      <c r="A12" s="168" t="s">
        <v>2705</v>
      </c>
      <c r="C12" s="168"/>
      <c r="D12" s="171">
        <f t="shared" ref="D12" si="8">D263</f>
        <v>95558</v>
      </c>
      <c r="F12" s="174"/>
    </row>
    <row r="13" spans="1:6">
      <c r="A13" s="168" t="s">
        <v>2706</v>
      </c>
      <c r="C13" s="168"/>
      <c r="D13" s="171">
        <f t="shared" ref="D13" si="9">D297</f>
        <v>78211</v>
      </c>
      <c r="F13" s="174"/>
    </row>
    <row r="14" spans="1:6">
      <c r="A14" s="168" t="s">
        <v>2707</v>
      </c>
      <c r="C14" s="168"/>
      <c r="D14" s="171">
        <f t="shared" ref="D14" si="10">D333</f>
        <v>56689</v>
      </c>
      <c r="F14" s="174"/>
    </row>
    <row r="16" spans="1:6">
      <c r="A16" s="168" t="s">
        <v>2708</v>
      </c>
      <c r="D16" s="171">
        <f t="shared" ref="D16" si="11">D154</f>
        <v>72542</v>
      </c>
      <c r="F16" s="168" t="s">
        <v>2709</v>
      </c>
    </row>
    <row r="17" spans="1:6">
      <c r="D17" s="173"/>
    </row>
    <row r="18" spans="1:6">
      <c r="A18" s="168" t="s">
        <v>2710</v>
      </c>
      <c r="D18" s="171">
        <f t="shared" ref="D18" si="12">D124</f>
        <v>73470</v>
      </c>
      <c r="F18" s="168" t="s">
        <v>2357</v>
      </c>
    </row>
    <row r="19" spans="1:6">
      <c r="D19" s="173"/>
    </row>
    <row r="20" spans="1:6">
      <c r="A20" s="168" t="s">
        <v>2711</v>
      </c>
      <c r="D20" s="171">
        <f t="shared" ref="D20" si="13">D155</f>
        <v>8755</v>
      </c>
      <c r="F20" s="168" t="s">
        <v>2709</v>
      </c>
    </row>
    <row r="21" spans="1:6">
      <c r="D21" s="175">
        <f t="shared" ref="D21" si="14">D186</f>
        <v>60975</v>
      </c>
      <c r="F21" s="168" t="s">
        <v>2712</v>
      </c>
    </row>
    <row r="22" spans="1:6" ht="15" thickBot="1">
      <c r="D22" s="172">
        <f>D288</f>
        <v>5048</v>
      </c>
      <c r="F22" s="168" t="s">
        <v>2713</v>
      </c>
    </row>
    <row r="23" spans="1:6" ht="15" thickBot="1">
      <c r="D23" s="172">
        <f>SUM(D20:D22)</f>
        <v>74778</v>
      </c>
    </row>
    <row r="24" spans="1:6">
      <c r="D24" s="173"/>
    </row>
    <row r="25" spans="1:6">
      <c r="A25" s="168" t="s">
        <v>2714</v>
      </c>
      <c r="D25" s="171">
        <f t="shared" ref="D25" si="15">D220</f>
        <v>73174</v>
      </c>
      <c r="F25" s="168" t="s">
        <v>2715</v>
      </c>
    </row>
    <row r="26" spans="1:6">
      <c r="D26" s="173"/>
    </row>
    <row r="27" spans="1:6">
      <c r="A27" s="168" t="s">
        <v>2716</v>
      </c>
      <c r="D27" s="171">
        <f t="shared" ref="D27" si="16">D255</f>
        <v>72132</v>
      </c>
      <c r="F27" s="168" t="s">
        <v>2717</v>
      </c>
    </row>
    <row r="28" spans="1:6">
      <c r="D28" s="173"/>
    </row>
    <row r="29" spans="1:6">
      <c r="A29" s="168" t="s">
        <v>2718</v>
      </c>
      <c r="D29" s="171">
        <f t="shared" ref="D29" si="17">D256</f>
        <v>11275</v>
      </c>
      <c r="F29" s="168" t="s">
        <v>2717</v>
      </c>
    </row>
    <row r="30" spans="1:6" ht="15" thickBot="1">
      <c r="D30" s="172">
        <f t="shared" ref="D30" si="18">D289</f>
        <v>61621</v>
      </c>
      <c r="F30" s="168" t="s">
        <v>2713</v>
      </c>
    </row>
    <row r="31" spans="1:6" ht="15" thickBot="1">
      <c r="D31" s="172">
        <f t="shared" ref="D31" si="19">D29+D30</f>
        <v>72896</v>
      </c>
    </row>
    <row r="32" spans="1:6">
      <c r="D32" s="173"/>
    </row>
    <row r="33" spans="1:6">
      <c r="A33" s="168" t="s">
        <v>2719</v>
      </c>
      <c r="D33" s="175">
        <f>D326</f>
        <v>78211</v>
      </c>
      <c r="F33" s="168" t="s">
        <v>2363</v>
      </c>
    </row>
    <row r="34" spans="1:6">
      <c r="D34" s="173"/>
    </row>
    <row r="35" spans="1:6">
      <c r="A35" s="168" t="s">
        <v>2720</v>
      </c>
      <c r="D35" s="171">
        <f t="shared" ref="D35" si="20">D98</f>
        <v>77445</v>
      </c>
      <c r="F35" s="168" t="s">
        <v>2721</v>
      </c>
    </row>
    <row r="36" spans="1:6">
      <c r="D36" s="173"/>
    </row>
    <row r="37" spans="1:6">
      <c r="A37" s="168" t="s">
        <v>2722</v>
      </c>
      <c r="D37" s="171">
        <f>D99</f>
        <v>76296</v>
      </c>
      <c r="F37" s="168" t="s">
        <v>2721</v>
      </c>
    </row>
    <row r="38" spans="1:6">
      <c r="D38" s="173"/>
    </row>
    <row r="39" spans="1:6">
      <c r="A39" s="168" t="s">
        <v>2723</v>
      </c>
      <c r="D39" s="171">
        <f t="shared" ref="D39" si="21">D187</f>
        <v>16616</v>
      </c>
      <c r="F39" s="168" t="s">
        <v>2712</v>
      </c>
    </row>
    <row r="40" spans="1:6" ht="15" thickBot="1">
      <c r="D40" s="172">
        <f t="shared" ref="D40" si="22">D345</f>
        <v>56689</v>
      </c>
      <c r="F40" s="168" t="s">
        <v>2364</v>
      </c>
    </row>
    <row r="41" spans="1:6" ht="15" thickBot="1">
      <c r="D41" s="172">
        <f t="shared" ref="D41" si="23">D39+D40</f>
        <v>73305</v>
      </c>
    </row>
    <row r="42" spans="1:6">
      <c r="D42" s="175"/>
    </row>
    <row r="43" spans="1:6">
      <c r="A43" s="168" t="s">
        <v>2724</v>
      </c>
      <c r="D43" s="171">
        <f>D221</f>
        <v>16073</v>
      </c>
      <c r="F43" s="168" t="s">
        <v>2715</v>
      </c>
    </row>
    <row r="44" spans="1:6">
      <c r="A44" s="168"/>
      <c r="D44" s="171">
        <f>D290</f>
        <v>28889</v>
      </c>
      <c r="F44" s="168" t="s">
        <v>2713</v>
      </c>
    </row>
    <row r="45" spans="1:6" ht="15" thickBot="1">
      <c r="D45" s="172">
        <f>D100</f>
        <v>26116</v>
      </c>
      <c r="F45" s="168" t="s">
        <v>2721</v>
      </c>
    </row>
    <row r="46" spans="1:6" ht="15" thickBot="1">
      <c r="D46" s="172">
        <f>SUM(D43:D45)</f>
        <v>71078</v>
      </c>
    </row>
    <row r="47" spans="1:6">
      <c r="D47" s="175"/>
    </row>
    <row r="48" spans="1:6">
      <c r="A48" s="168" t="s">
        <v>1041</v>
      </c>
      <c r="D48" s="171">
        <f>SUM(D16,D18,D23,D25,D27,D31,D33,D35,D37,D41,D46)</f>
        <v>815327</v>
      </c>
    </row>
    <row r="49" spans="1:9">
      <c r="D49" s="173"/>
    </row>
    <row r="50" spans="1:9">
      <c r="A50" s="168" t="s">
        <v>1042</v>
      </c>
      <c r="D50" s="171">
        <f>MAX(D16,D18,D23,D25,D27,D31,D33,D35,D37,D41,D46)-MIN(D16,D18,D23,D25,D27,D31,D33,D35,D37,D41,D46)</f>
        <v>7133</v>
      </c>
    </row>
    <row r="51" spans="1:9">
      <c r="D51" s="173"/>
    </row>
    <row r="52" spans="1:9">
      <c r="A52" s="168" t="s">
        <v>1045</v>
      </c>
      <c r="D52" s="171">
        <f>STDEVP(D16,D18,D23,D25,D27,D31,D33,D35,D37,D41,D46)</f>
        <v>2177.0632960576322</v>
      </c>
    </row>
    <row r="53" spans="1:9">
      <c r="A53" s="168"/>
      <c r="D53" s="171"/>
    </row>
    <row r="54" spans="1:9">
      <c r="A54" s="168" t="s">
        <v>2725</v>
      </c>
    </row>
    <row r="55" spans="1:9">
      <c r="A55" s="168"/>
    </row>
    <row r="56" spans="1:9">
      <c r="A56" s="2"/>
    </row>
    <row r="57" spans="1:9">
      <c r="D57" s="10" t="s">
        <v>285</v>
      </c>
      <c r="E57" s="38"/>
      <c r="F57" s="38" t="s">
        <v>1842</v>
      </c>
    </row>
    <row r="58" spans="1:9">
      <c r="D58" s="39">
        <v>2016</v>
      </c>
      <c r="E58" s="38"/>
      <c r="F58" s="41" t="s">
        <v>286</v>
      </c>
    </row>
    <row r="59" spans="1:9">
      <c r="A59" s="168" t="s">
        <v>2699</v>
      </c>
      <c r="C59" s="168"/>
      <c r="D59" s="171">
        <f>SUM(D60:D96)</f>
        <v>179857</v>
      </c>
    </row>
    <row r="60" spans="1:9">
      <c r="A60" s="168" t="s">
        <v>812</v>
      </c>
      <c r="B60" s="168" t="s">
        <v>2726</v>
      </c>
      <c r="C60" s="1" t="s">
        <v>2727</v>
      </c>
      <c r="D60" s="7">
        <v>7369</v>
      </c>
      <c r="F60" s="168" t="s">
        <v>2720</v>
      </c>
      <c r="G60" s="1"/>
      <c r="I60" s="1"/>
    </row>
    <row r="61" spans="1:9">
      <c r="A61" s="168" t="s">
        <v>813</v>
      </c>
      <c r="B61" s="168" t="s">
        <v>2728</v>
      </c>
      <c r="C61" s="1" t="s">
        <v>2729</v>
      </c>
      <c r="D61" s="7">
        <v>13371</v>
      </c>
      <c r="F61" s="168" t="s">
        <v>2720</v>
      </c>
      <c r="G61" s="1"/>
      <c r="I61" s="1"/>
    </row>
    <row r="62" spans="1:9">
      <c r="A62" s="168" t="s">
        <v>814</v>
      </c>
      <c r="B62" s="168" t="s">
        <v>2730</v>
      </c>
      <c r="C62" s="1" t="s">
        <v>2731</v>
      </c>
      <c r="D62" s="7">
        <v>7346</v>
      </c>
      <c r="F62" s="168" t="s">
        <v>2722</v>
      </c>
      <c r="G62" s="1"/>
      <c r="I62" s="1"/>
    </row>
    <row r="63" spans="1:9">
      <c r="A63" s="168" t="s">
        <v>815</v>
      </c>
      <c r="B63" s="168" t="s">
        <v>2732</v>
      </c>
      <c r="C63" s="1" t="s">
        <v>2733</v>
      </c>
      <c r="D63" s="8">
        <v>8101</v>
      </c>
      <c r="F63" s="168" t="s">
        <v>2720</v>
      </c>
      <c r="G63" s="1"/>
      <c r="I63" s="1"/>
    </row>
    <row r="64" spans="1:9">
      <c r="A64" s="168" t="s">
        <v>816</v>
      </c>
      <c r="B64" s="168" t="s">
        <v>2734</v>
      </c>
      <c r="C64" s="1" t="s">
        <v>2735</v>
      </c>
      <c r="D64" s="8">
        <v>4226</v>
      </c>
      <c r="F64" s="168" t="s">
        <v>2724</v>
      </c>
      <c r="G64" s="1"/>
      <c r="I64" s="1"/>
    </row>
    <row r="65" spans="1:9">
      <c r="A65" s="168" t="s">
        <v>826</v>
      </c>
      <c r="B65" s="168" t="s">
        <v>2736</v>
      </c>
      <c r="C65" s="1" t="s">
        <v>2737</v>
      </c>
      <c r="D65" s="8">
        <v>4140</v>
      </c>
      <c r="F65" s="168" t="s">
        <v>2724</v>
      </c>
      <c r="G65" s="1"/>
      <c r="I65" s="1"/>
    </row>
    <row r="66" spans="1:9">
      <c r="A66" s="168" t="s">
        <v>827</v>
      </c>
      <c r="B66" s="168" t="s">
        <v>2738</v>
      </c>
      <c r="C66" s="1" t="s">
        <v>2739</v>
      </c>
      <c r="D66" s="7">
        <v>4338</v>
      </c>
      <c r="F66" s="168" t="s">
        <v>2722</v>
      </c>
      <c r="G66" s="1"/>
      <c r="I66" s="1"/>
    </row>
    <row r="67" spans="1:9">
      <c r="A67" s="168" t="s">
        <v>828</v>
      </c>
      <c r="B67" s="168" t="s">
        <v>2740</v>
      </c>
      <c r="C67" s="1" t="s">
        <v>2741</v>
      </c>
      <c r="D67" s="8">
        <v>3906</v>
      </c>
      <c r="F67" s="168" t="s">
        <v>2720</v>
      </c>
      <c r="G67" s="1"/>
      <c r="I67" s="1"/>
    </row>
    <row r="68" spans="1:9">
      <c r="A68" s="168" t="s">
        <v>829</v>
      </c>
      <c r="B68" s="168" t="s">
        <v>2742</v>
      </c>
      <c r="C68" s="1" t="s">
        <v>2743</v>
      </c>
      <c r="D68" s="8">
        <v>4002</v>
      </c>
      <c r="F68" s="168" t="s">
        <v>2722</v>
      </c>
      <c r="G68" s="1"/>
      <c r="I68" s="1"/>
    </row>
    <row r="69" spans="1:9">
      <c r="A69" s="168" t="s">
        <v>830</v>
      </c>
      <c r="B69" s="168" t="s">
        <v>2744</v>
      </c>
      <c r="C69" s="1" t="s">
        <v>2745</v>
      </c>
      <c r="D69" s="8">
        <v>4009</v>
      </c>
      <c r="F69" s="168" t="s">
        <v>2720</v>
      </c>
      <c r="G69" s="1"/>
      <c r="I69" s="1"/>
    </row>
    <row r="70" spans="1:9">
      <c r="A70" s="168" t="s">
        <v>831</v>
      </c>
      <c r="B70" s="168" t="s">
        <v>2746</v>
      </c>
      <c r="C70" s="1" t="s">
        <v>2747</v>
      </c>
      <c r="D70" s="8">
        <v>4054</v>
      </c>
      <c r="F70" s="168" t="s">
        <v>2720</v>
      </c>
      <c r="G70" s="1"/>
      <c r="I70" s="1"/>
    </row>
    <row r="71" spans="1:9">
      <c r="A71" s="168" t="s">
        <v>832</v>
      </c>
      <c r="B71" s="168" t="s">
        <v>2748</v>
      </c>
      <c r="C71" s="1" t="s">
        <v>2749</v>
      </c>
      <c r="D71" s="8">
        <v>3793</v>
      </c>
      <c r="F71" s="168" t="s">
        <v>2724</v>
      </c>
      <c r="G71" s="1"/>
      <c r="I71" s="1"/>
    </row>
    <row r="72" spans="1:9">
      <c r="A72" s="168" t="s">
        <v>833</v>
      </c>
      <c r="B72" s="168" t="s">
        <v>2750</v>
      </c>
      <c r="C72" s="1" t="s">
        <v>2751</v>
      </c>
      <c r="D72" s="7">
        <v>3675</v>
      </c>
      <c r="F72" s="168" t="s">
        <v>2722</v>
      </c>
      <c r="G72" s="1"/>
      <c r="I72" s="1"/>
    </row>
    <row r="73" spans="1:9">
      <c r="A73" s="168" t="s">
        <v>834</v>
      </c>
      <c r="B73" s="168" t="s">
        <v>2752</v>
      </c>
      <c r="C73" s="1" t="s">
        <v>2753</v>
      </c>
      <c r="D73" s="8">
        <v>3875</v>
      </c>
      <c r="F73" s="168" t="s">
        <v>2720</v>
      </c>
      <c r="G73" s="1"/>
      <c r="I73" s="1"/>
    </row>
    <row r="74" spans="1:9">
      <c r="A74" s="168" t="s">
        <v>835</v>
      </c>
      <c r="B74" s="168" t="s">
        <v>2754</v>
      </c>
      <c r="C74" s="1" t="s">
        <v>2755</v>
      </c>
      <c r="D74" s="8">
        <v>4307</v>
      </c>
      <c r="F74" s="168" t="s">
        <v>2722</v>
      </c>
      <c r="G74" s="1"/>
      <c r="I74" s="1"/>
    </row>
    <row r="75" spans="1:9">
      <c r="A75" s="168" t="s">
        <v>836</v>
      </c>
      <c r="B75" s="168" t="s">
        <v>2756</v>
      </c>
      <c r="C75" s="1" t="s">
        <v>2757</v>
      </c>
      <c r="D75" s="8">
        <v>4073</v>
      </c>
      <c r="F75" s="168" t="s">
        <v>2722</v>
      </c>
      <c r="G75" s="1"/>
      <c r="I75" s="1"/>
    </row>
    <row r="76" spans="1:9">
      <c r="A76" s="168" t="s">
        <v>837</v>
      </c>
      <c r="B76" s="168" t="s">
        <v>2758</v>
      </c>
      <c r="C76" s="1" t="s">
        <v>2759</v>
      </c>
      <c r="D76" s="8">
        <v>4501</v>
      </c>
      <c r="F76" s="168" t="s">
        <v>2720</v>
      </c>
      <c r="G76" s="1"/>
      <c r="I76" s="1"/>
    </row>
    <row r="77" spans="1:9">
      <c r="A77" s="168" t="s">
        <v>838</v>
      </c>
      <c r="B77" s="168" t="s">
        <v>2760</v>
      </c>
      <c r="C77" s="1" t="s">
        <v>2761</v>
      </c>
      <c r="D77" s="8">
        <v>4314</v>
      </c>
      <c r="F77" s="168" t="s">
        <v>2720</v>
      </c>
      <c r="G77" s="1"/>
      <c r="I77" s="1"/>
    </row>
    <row r="78" spans="1:9">
      <c r="A78" s="168" t="s">
        <v>840</v>
      </c>
      <c r="B78" s="168" t="s">
        <v>2762</v>
      </c>
      <c r="C78" s="1" t="s">
        <v>2763</v>
      </c>
      <c r="D78" s="8">
        <v>7982</v>
      </c>
      <c r="F78" s="168" t="s">
        <v>2720</v>
      </c>
      <c r="G78" s="1"/>
      <c r="I78" s="1"/>
    </row>
    <row r="79" spans="1:9">
      <c r="A79" s="168" t="s">
        <v>841</v>
      </c>
      <c r="B79" s="168" t="s">
        <v>2764</v>
      </c>
      <c r="C79" s="1" t="s">
        <v>2765</v>
      </c>
      <c r="D79" s="8">
        <v>9519</v>
      </c>
      <c r="F79" s="168" t="s">
        <v>2724</v>
      </c>
      <c r="G79" s="1"/>
      <c r="I79" s="1"/>
    </row>
    <row r="80" spans="1:9">
      <c r="A80" s="168" t="s">
        <v>878</v>
      </c>
      <c r="B80" s="168" t="s">
        <v>2766</v>
      </c>
      <c r="C80" s="1" t="s">
        <v>2767</v>
      </c>
      <c r="D80" s="7">
        <v>2507</v>
      </c>
      <c r="F80" s="168" t="s">
        <v>2722</v>
      </c>
      <c r="G80" s="1"/>
      <c r="I80" s="1"/>
    </row>
    <row r="81" spans="1:9">
      <c r="A81" s="168" t="s">
        <v>879</v>
      </c>
      <c r="B81" s="168" t="s">
        <v>2768</v>
      </c>
      <c r="C81" s="1" t="s">
        <v>2769</v>
      </c>
      <c r="D81" s="7">
        <v>4582</v>
      </c>
      <c r="F81" s="168" t="s">
        <v>2722</v>
      </c>
      <c r="G81" s="1"/>
      <c r="I81" s="1"/>
    </row>
    <row r="82" spans="1:9">
      <c r="A82" s="168" t="s">
        <v>880</v>
      </c>
      <c r="B82" s="168" t="s">
        <v>2770</v>
      </c>
      <c r="C82" s="1" t="s">
        <v>2771</v>
      </c>
      <c r="D82" s="8">
        <v>4438</v>
      </c>
      <c r="F82" s="168" t="s">
        <v>2724</v>
      </c>
      <c r="G82" s="1"/>
      <c r="I82" s="1"/>
    </row>
    <row r="83" spans="1:9">
      <c r="A83" s="168" t="s">
        <v>721</v>
      </c>
      <c r="B83" s="168" t="s">
        <v>2772</v>
      </c>
      <c r="C83" s="1" t="s">
        <v>2773</v>
      </c>
      <c r="D83" s="7">
        <v>3759</v>
      </c>
      <c r="F83" s="168" t="s">
        <v>2722</v>
      </c>
      <c r="G83" s="1"/>
      <c r="I83" s="1"/>
    </row>
    <row r="84" spans="1:9">
      <c r="A84" s="168" t="s">
        <v>722</v>
      </c>
      <c r="B84" s="168" t="s">
        <v>2774</v>
      </c>
      <c r="C84" s="1" t="s">
        <v>2775</v>
      </c>
      <c r="D84" s="8">
        <v>3766</v>
      </c>
      <c r="F84" s="168" t="s">
        <v>2722</v>
      </c>
      <c r="G84" s="1"/>
      <c r="I84" s="1"/>
    </row>
    <row r="85" spans="1:9">
      <c r="A85" s="168" t="s">
        <v>723</v>
      </c>
      <c r="B85" s="168" t="s">
        <v>2776</v>
      </c>
      <c r="C85" s="1" t="s">
        <v>2777</v>
      </c>
      <c r="D85" s="8">
        <v>4333</v>
      </c>
      <c r="F85" s="168" t="s">
        <v>2720</v>
      </c>
      <c r="G85" s="1"/>
      <c r="I85" s="1"/>
    </row>
    <row r="86" spans="1:9">
      <c r="A86" s="168" t="s">
        <v>733</v>
      </c>
      <c r="B86" s="168" t="s">
        <v>2778</v>
      </c>
      <c r="C86" s="1" t="s">
        <v>2779</v>
      </c>
      <c r="D86" s="8">
        <v>4023</v>
      </c>
      <c r="F86" s="168" t="s">
        <v>2722</v>
      </c>
      <c r="G86" s="1"/>
      <c r="I86" s="1"/>
    </row>
    <row r="87" spans="1:9">
      <c r="A87" s="176" t="s">
        <v>734</v>
      </c>
      <c r="B87" s="168" t="s">
        <v>2780</v>
      </c>
      <c r="C87" s="1" t="s">
        <v>2781</v>
      </c>
      <c r="D87" s="8">
        <v>4507</v>
      </c>
      <c r="F87" s="168" t="s">
        <v>2722</v>
      </c>
      <c r="G87" s="1"/>
      <c r="I87" s="1"/>
    </row>
    <row r="88" spans="1:9">
      <c r="A88" s="176" t="s">
        <v>735</v>
      </c>
      <c r="B88" s="168" t="s">
        <v>2782</v>
      </c>
      <c r="C88" s="1" t="s">
        <v>2783</v>
      </c>
      <c r="D88" s="8">
        <v>3886</v>
      </c>
      <c r="F88" s="168" t="s">
        <v>2722</v>
      </c>
      <c r="G88" s="1"/>
      <c r="I88" s="1"/>
    </row>
    <row r="89" spans="1:9">
      <c r="A89" s="176" t="s">
        <v>736</v>
      </c>
      <c r="B89" s="168" t="s">
        <v>2784</v>
      </c>
      <c r="C89" s="1" t="s">
        <v>2785</v>
      </c>
      <c r="D89" s="8">
        <v>3826</v>
      </c>
      <c r="F89" s="168" t="s">
        <v>2722</v>
      </c>
      <c r="G89" s="1"/>
      <c r="I89" s="1"/>
    </row>
    <row r="90" spans="1:9">
      <c r="A90" s="176" t="s">
        <v>931</v>
      </c>
      <c r="B90" s="168" t="s">
        <v>2786</v>
      </c>
      <c r="C90" s="1" t="s">
        <v>2787</v>
      </c>
      <c r="D90" s="8">
        <v>3779</v>
      </c>
      <c r="F90" s="168" t="s">
        <v>2720</v>
      </c>
      <c r="G90" s="1"/>
      <c r="I90" s="1"/>
    </row>
    <row r="91" spans="1:9">
      <c r="A91" s="176" t="s">
        <v>932</v>
      </c>
      <c r="B91" s="168" t="s">
        <v>2788</v>
      </c>
      <c r="C91" s="1" t="s">
        <v>2789</v>
      </c>
      <c r="D91" s="7">
        <v>4682</v>
      </c>
      <c r="F91" s="168" t="s">
        <v>2722</v>
      </c>
      <c r="G91" s="1"/>
      <c r="I91" s="1"/>
    </row>
    <row r="92" spans="1:9">
      <c r="A92" s="176" t="s">
        <v>933</v>
      </c>
      <c r="B92" s="168" t="s">
        <v>2790</v>
      </c>
      <c r="C92" s="1" t="s">
        <v>2791</v>
      </c>
      <c r="D92" s="8">
        <v>4405</v>
      </c>
      <c r="F92" s="168" t="s">
        <v>2722</v>
      </c>
      <c r="G92" s="1"/>
      <c r="I92" s="1"/>
    </row>
    <row r="93" spans="1:9">
      <c r="A93" s="176" t="s">
        <v>934</v>
      </c>
      <c r="B93" s="168" t="s">
        <v>2792</v>
      </c>
      <c r="C93" s="1" t="s">
        <v>2793</v>
      </c>
      <c r="D93" s="8">
        <v>3936</v>
      </c>
      <c r="F93" s="168" t="s">
        <v>2720</v>
      </c>
      <c r="G93" s="1"/>
      <c r="I93" s="1"/>
    </row>
    <row r="94" spans="1:9">
      <c r="A94" s="176" t="s">
        <v>376</v>
      </c>
      <c r="B94" s="168" t="s">
        <v>2794</v>
      </c>
      <c r="C94" s="1" t="s">
        <v>2795</v>
      </c>
      <c r="D94" s="7">
        <v>4688</v>
      </c>
      <c r="F94" s="168" t="s">
        <v>2722</v>
      </c>
      <c r="G94" s="1"/>
      <c r="I94" s="1"/>
    </row>
    <row r="95" spans="1:9">
      <c r="A95" s="176" t="s">
        <v>377</v>
      </c>
      <c r="B95" s="168" t="s">
        <v>2796</v>
      </c>
      <c r="C95" s="1" t="s">
        <v>2797</v>
      </c>
      <c r="D95" s="8">
        <v>3915</v>
      </c>
      <c r="F95" s="168" t="s">
        <v>2720</v>
      </c>
      <c r="G95" s="1"/>
      <c r="I95" s="1"/>
    </row>
    <row r="96" spans="1:9">
      <c r="A96" s="176" t="s">
        <v>338</v>
      </c>
      <c r="B96" s="168" t="s">
        <v>2798</v>
      </c>
      <c r="C96" s="1" t="s">
        <v>2799</v>
      </c>
      <c r="D96" s="8">
        <v>3924</v>
      </c>
      <c r="F96" s="168" t="s">
        <v>2722</v>
      </c>
      <c r="G96" s="1"/>
      <c r="I96" s="1"/>
    </row>
    <row r="97" spans="1:9">
      <c r="A97" s="168"/>
      <c r="B97" s="168"/>
      <c r="C97" s="1"/>
      <c r="D97" s="173"/>
      <c r="G97" s="1"/>
      <c r="I97" s="1"/>
    </row>
    <row r="98" spans="1:9">
      <c r="A98" s="168" t="s">
        <v>2720</v>
      </c>
      <c r="D98" s="171">
        <f>D60+D61+D63+D67+D69+D70+D73+SUM(D76:D78)+D85+D90+D93+D95</f>
        <v>77445</v>
      </c>
    </row>
    <row r="99" spans="1:9">
      <c r="A99" s="168" t="s">
        <v>2722</v>
      </c>
      <c r="D99" s="171">
        <f>D62+D66+D68+D72+D74+D75+D80+D81+D83+D84+SUM(D86:D89)+D91+D92+D94+D96</f>
        <v>76296</v>
      </c>
    </row>
    <row r="100" spans="1:9">
      <c r="A100" s="168" t="s">
        <v>2800</v>
      </c>
      <c r="D100" s="171">
        <f>D64+D65+D71+D79+D82</f>
        <v>26116</v>
      </c>
    </row>
    <row r="102" spans="1:9">
      <c r="A102" s="168" t="s">
        <v>2801</v>
      </c>
    </row>
    <row r="103" spans="1:9">
      <c r="A103" s="168"/>
    </row>
    <row r="104" spans="1:9">
      <c r="A104" s="168"/>
    </row>
    <row r="105" spans="1:9">
      <c r="D105" s="10" t="s">
        <v>285</v>
      </c>
      <c r="E105" s="38"/>
      <c r="F105" s="38" t="s">
        <v>1842</v>
      </c>
    </row>
    <row r="106" spans="1:9">
      <c r="D106" s="39">
        <v>2016</v>
      </c>
      <c r="E106" s="38"/>
      <c r="F106" s="41" t="s">
        <v>286</v>
      </c>
    </row>
    <row r="107" spans="1:9">
      <c r="A107" s="168" t="s">
        <v>2802</v>
      </c>
      <c r="D107" s="171">
        <f t="shared" ref="D107" si="24">SUM(D108:D122)</f>
        <v>73470</v>
      </c>
    </row>
    <row r="108" spans="1:9">
      <c r="A108" s="168" t="s">
        <v>812</v>
      </c>
      <c r="B108" s="168" t="s">
        <v>2803</v>
      </c>
      <c r="C108" s="1" t="s">
        <v>2804</v>
      </c>
      <c r="D108" s="7">
        <v>5028</v>
      </c>
      <c r="F108" s="168" t="s">
        <v>2710</v>
      </c>
      <c r="G108" s="1"/>
      <c r="I108" s="1"/>
    </row>
    <row r="109" spans="1:9">
      <c r="A109" s="168" t="s">
        <v>813</v>
      </c>
      <c r="B109" s="168" t="s">
        <v>2805</v>
      </c>
      <c r="C109" s="1" t="s">
        <v>2806</v>
      </c>
      <c r="D109" s="7">
        <v>5128</v>
      </c>
      <c r="F109" s="168" t="s">
        <v>2710</v>
      </c>
      <c r="G109" s="1"/>
      <c r="I109" s="1"/>
    </row>
    <row r="110" spans="1:9">
      <c r="A110" s="168" t="s">
        <v>814</v>
      </c>
      <c r="B110" s="168" t="s">
        <v>2807</v>
      </c>
      <c r="C110" s="1" t="s">
        <v>2808</v>
      </c>
      <c r="D110" s="7">
        <v>5447</v>
      </c>
      <c r="F110" s="168" t="s">
        <v>2710</v>
      </c>
      <c r="G110" s="1"/>
      <c r="I110" s="1"/>
    </row>
    <row r="111" spans="1:9">
      <c r="A111" s="168" t="s">
        <v>815</v>
      </c>
      <c r="B111" s="168" t="s">
        <v>2809</v>
      </c>
      <c r="C111" s="1" t="s">
        <v>2810</v>
      </c>
      <c r="D111" s="7">
        <v>5734</v>
      </c>
      <c r="F111" s="168" t="s">
        <v>2710</v>
      </c>
      <c r="G111" s="1"/>
      <c r="I111" s="1"/>
    </row>
    <row r="112" spans="1:9">
      <c r="A112" s="168" t="s">
        <v>816</v>
      </c>
      <c r="B112" s="168" t="s">
        <v>2811</v>
      </c>
      <c r="C112" s="1" t="s">
        <v>2812</v>
      </c>
      <c r="D112" s="7">
        <v>5653</v>
      </c>
      <c r="F112" s="168" t="s">
        <v>2710</v>
      </c>
      <c r="G112" s="1"/>
      <c r="I112" s="1"/>
    </row>
    <row r="113" spans="1:9">
      <c r="A113" s="168" t="s">
        <v>826</v>
      </c>
      <c r="B113" s="168" t="s">
        <v>2813</v>
      </c>
      <c r="C113" s="1" t="s">
        <v>2814</v>
      </c>
      <c r="D113" s="7">
        <v>5178</v>
      </c>
      <c r="F113" s="168" t="s">
        <v>2710</v>
      </c>
      <c r="G113" s="1"/>
      <c r="I113" s="1"/>
    </row>
    <row r="114" spans="1:9">
      <c r="A114" s="168" t="s">
        <v>827</v>
      </c>
      <c r="B114" s="168" t="s">
        <v>2432</v>
      </c>
      <c r="C114" s="1" t="s">
        <v>2815</v>
      </c>
      <c r="D114" s="7">
        <v>3308</v>
      </c>
      <c r="F114" s="168" t="s">
        <v>2710</v>
      </c>
      <c r="G114" s="1"/>
      <c r="I114" s="1"/>
    </row>
    <row r="115" spans="1:9">
      <c r="A115" s="168" t="s">
        <v>828</v>
      </c>
      <c r="B115" s="168" t="s">
        <v>2816</v>
      </c>
      <c r="C115" s="1" t="s">
        <v>2817</v>
      </c>
      <c r="D115" s="7">
        <v>5511</v>
      </c>
      <c r="F115" s="168" t="s">
        <v>2710</v>
      </c>
      <c r="G115" s="1"/>
      <c r="I115" s="1"/>
    </row>
    <row r="116" spans="1:9">
      <c r="A116" s="168" t="s">
        <v>829</v>
      </c>
      <c r="B116" s="168" t="s">
        <v>2818</v>
      </c>
      <c r="C116" s="1" t="s">
        <v>2819</v>
      </c>
      <c r="D116" s="7">
        <v>4825</v>
      </c>
      <c r="F116" s="168" t="s">
        <v>2710</v>
      </c>
      <c r="G116" s="1"/>
      <c r="I116" s="1"/>
    </row>
    <row r="117" spans="1:9">
      <c r="A117" s="168" t="s">
        <v>830</v>
      </c>
      <c r="B117" s="168" t="s">
        <v>2820</v>
      </c>
      <c r="C117" s="1" t="s">
        <v>2821</v>
      </c>
      <c r="D117" s="7">
        <v>3845</v>
      </c>
      <c r="F117" s="168" t="s">
        <v>2710</v>
      </c>
      <c r="G117" s="1"/>
      <c r="I117" s="1"/>
    </row>
    <row r="118" spans="1:9">
      <c r="A118" s="168" t="s">
        <v>831</v>
      </c>
      <c r="B118" s="168" t="s">
        <v>2822</v>
      </c>
      <c r="C118" s="1" t="s">
        <v>2823</v>
      </c>
      <c r="D118" s="7">
        <v>5220</v>
      </c>
      <c r="F118" s="168" t="s">
        <v>2710</v>
      </c>
      <c r="G118" s="1"/>
      <c r="I118" s="1"/>
    </row>
    <row r="119" spans="1:9">
      <c r="A119" s="168" t="s">
        <v>832</v>
      </c>
      <c r="B119" s="168" t="s">
        <v>2824</v>
      </c>
      <c r="C119" s="1" t="s">
        <v>2825</v>
      </c>
      <c r="D119" s="7">
        <v>4147</v>
      </c>
      <c r="F119" s="168" t="s">
        <v>2710</v>
      </c>
      <c r="G119" s="1"/>
      <c r="I119" s="1"/>
    </row>
    <row r="120" spans="1:9">
      <c r="A120" s="168" t="s">
        <v>833</v>
      </c>
      <c r="B120" s="168" t="s">
        <v>2826</v>
      </c>
      <c r="C120" s="1" t="s">
        <v>2827</v>
      </c>
      <c r="D120" s="7">
        <v>5647</v>
      </c>
      <c r="F120" s="168" t="s">
        <v>2710</v>
      </c>
      <c r="G120" s="1"/>
      <c r="I120" s="1"/>
    </row>
    <row r="121" spans="1:9">
      <c r="A121" s="168" t="s">
        <v>834</v>
      </c>
      <c r="B121" s="168" t="s">
        <v>2828</v>
      </c>
      <c r="C121" s="1" t="s">
        <v>2829</v>
      </c>
      <c r="D121" s="7">
        <v>3714</v>
      </c>
      <c r="F121" s="168" t="s">
        <v>2710</v>
      </c>
      <c r="G121" s="1"/>
      <c r="I121" s="1"/>
    </row>
    <row r="122" spans="1:9">
      <c r="A122" s="168" t="s">
        <v>835</v>
      </c>
      <c r="B122" s="168" t="s">
        <v>2830</v>
      </c>
      <c r="C122" s="1" t="s">
        <v>2831</v>
      </c>
      <c r="D122" s="7">
        <v>5085</v>
      </c>
      <c r="F122" s="168" t="s">
        <v>2710</v>
      </c>
      <c r="G122" s="1"/>
      <c r="I122" s="1"/>
    </row>
    <row r="123" spans="1:9">
      <c r="D123" s="173"/>
    </row>
    <row r="124" spans="1:9">
      <c r="A124" s="168" t="s">
        <v>2710</v>
      </c>
      <c r="D124" s="171">
        <f t="shared" ref="D124" si="25">SUM(D108:D122)</f>
        <v>73470</v>
      </c>
    </row>
    <row r="125" spans="1:9">
      <c r="A125" s="168"/>
      <c r="D125" s="171"/>
    </row>
    <row r="126" spans="1:9">
      <c r="A126" s="168" t="s">
        <v>2832</v>
      </c>
      <c r="D126" s="171"/>
    </row>
    <row r="127" spans="1:9">
      <c r="A127" s="168"/>
      <c r="B127" s="168"/>
      <c r="D127" s="177"/>
    </row>
    <row r="128" spans="1:9">
      <c r="A128" s="168"/>
      <c r="B128" s="168"/>
      <c r="D128" s="177"/>
    </row>
    <row r="129" spans="1:9">
      <c r="D129" s="10" t="s">
        <v>285</v>
      </c>
      <c r="E129" s="38"/>
      <c r="F129" s="38" t="s">
        <v>1842</v>
      </c>
    </row>
    <row r="130" spans="1:9">
      <c r="D130" s="39">
        <v>2016</v>
      </c>
      <c r="E130" s="38"/>
      <c r="F130" s="41" t="s">
        <v>286</v>
      </c>
    </row>
    <row r="131" spans="1:9">
      <c r="A131" s="168" t="s">
        <v>2833</v>
      </c>
      <c r="D131" s="171">
        <f t="shared" ref="D131" si="26">SUM(D132:D152)</f>
        <v>81297</v>
      </c>
    </row>
    <row r="132" spans="1:9">
      <c r="A132" s="168" t="s">
        <v>812</v>
      </c>
      <c r="B132" s="168" t="s">
        <v>998</v>
      </c>
      <c r="C132" s="1" t="s">
        <v>2834</v>
      </c>
      <c r="D132" s="7">
        <v>2276</v>
      </c>
      <c r="F132" s="168" t="s">
        <v>2708</v>
      </c>
      <c r="G132" s="1"/>
      <c r="I132" s="1"/>
    </row>
    <row r="133" spans="1:9">
      <c r="A133" s="168" t="s">
        <v>813</v>
      </c>
      <c r="B133" s="168" t="s">
        <v>2835</v>
      </c>
      <c r="C133" s="1" t="s">
        <v>2836</v>
      </c>
      <c r="D133" s="7">
        <v>3647</v>
      </c>
      <c r="F133" s="168" t="s">
        <v>2708</v>
      </c>
      <c r="G133" s="1"/>
      <c r="I133" s="1"/>
    </row>
    <row r="134" spans="1:9">
      <c r="A134" s="168" t="s">
        <v>814</v>
      </c>
      <c r="B134" s="168" t="s">
        <v>2837</v>
      </c>
      <c r="C134" s="1" t="s">
        <v>2838</v>
      </c>
      <c r="D134" s="8">
        <v>2155</v>
      </c>
      <c r="F134" s="168" t="s">
        <v>2711</v>
      </c>
      <c r="G134" s="1"/>
      <c r="I134" s="1"/>
    </row>
    <row r="135" spans="1:9">
      <c r="A135" s="168" t="s">
        <v>815</v>
      </c>
      <c r="B135" s="168" t="s">
        <v>2839</v>
      </c>
      <c r="C135" s="1" t="s">
        <v>2840</v>
      </c>
      <c r="D135" s="7">
        <v>5409</v>
      </c>
      <c r="F135" s="168" t="s">
        <v>2708</v>
      </c>
      <c r="G135" s="1"/>
      <c r="I135" s="1"/>
    </row>
    <row r="136" spans="1:9">
      <c r="A136" s="168" t="s">
        <v>816</v>
      </c>
      <c r="B136" s="168" t="s">
        <v>2841</v>
      </c>
      <c r="C136" s="1" t="s">
        <v>2842</v>
      </c>
      <c r="D136" s="7">
        <v>4165</v>
      </c>
      <c r="F136" s="168" t="s">
        <v>2708</v>
      </c>
      <c r="G136" s="1"/>
      <c r="I136" s="1"/>
    </row>
    <row r="137" spans="1:9">
      <c r="A137" s="168" t="s">
        <v>826</v>
      </c>
      <c r="B137" s="168" t="s">
        <v>2843</v>
      </c>
      <c r="C137" s="1" t="s">
        <v>2844</v>
      </c>
      <c r="D137" s="7">
        <v>1883</v>
      </c>
      <c r="F137" s="168" t="s">
        <v>2708</v>
      </c>
      <c r="G137" s="1"/>
      <c r="I137" s="1"/>
    </row>
    <row r="138" spans="1:9">
      <c r="A138" s="168" t="s">
        <v>827</v>
      </c>
      <c r="B138" s="168" t="s">
        <v>2845</v>
      </c>
      <c r="C138" s="1" t="s">
        <v>2846</v>
      </c>
      <c r="D138" s="7">
        <v>2141</v>
      </c>
      <c r="F138" s="168" t="s">
        <v>2708</v>
      </c>
      <c r="G138" s="1"/>
      <c r="I138" s="1"/>
    </row>
    <row r="139" spans="1:9">
      <c r="A139" s="168" t="s">
        <v>828</v>
      </c>
      <c r="B139" s="168" t="s">
        <v>2847</v>
      </c>
      <c r="C139" s="1" t="s">
        <v>2848</v>
      </c>
      <c r="D139" s="7">
        <v>2049</v>
      </c>
      <c r="F139" s="168" t="s">
        <v>2708</v>
      </c>
      <c r="G139" s="1"/>
      <c r="I139" s="1"/>
    </row>
    <row r="140" spans="1:9">
      <c r="A140" s="168" t="s">
        <v>829</v>
      </c>
      <c r="B140" s="168" t="s">
        <v>2849</v>
      </c>
      <c r="C140" s="1" t="s">
        <v>2850</v>
      </c>
      <c r="D140" s="7">
        <v>4016</v>
      </c>
      <c r="F140" s="168" t="s">
        <v>2708</v>
      </c>
      <c r="G140" s="1"/>
      <c r="I140" s="1"/>
    </row>
    <row r="141" spans="1:9">
      <c r="A141" s="168" t="s">
        <v>830</v>
      </c>
      <c r="B141" s="168" t="s">
        <v>2851</v>
      </c>
      <c r="C141" s="1" t="s">
        <v>2852</v>
      </c>
      <c r="D141" s="7">
        <v>4605</v>
      </c>
      <c r="F141" s="168" t="s">
        <v>2708</v>
      </c>
      <c r="G141" s="1"/>
      <c r="I141" s="1"/>
    </row>
    <row r="142" spans="1:9">
      <c r="A142" s="168" t="s">
        <v>831</v>
      </c>
      <c r="B142" s="168" t="s">
        <v>2853</v>
      </c>
      <c r="C142" s="1" t="s">
        <v>2854</v>
      </c>
      <c r="D142" s="7">
        <v>6070</v>
      </c>
      <c r="F142" s="168" t="s">
        <v>2708</v>
      </c>
      <c r="G142" s="1"/>
      <c r="I142" s="1"/>
    </row>
    <row r="143" spans="1:9">
      <c r="A143" s="168" t="s">
        <v>832</v>
      </c>
      <c r="B143" s="168" t="s">
        <v>2855</v>
      </c>
      <c r="C143" s="1" t="s">
        <v>2856</v>
      </c>
      <c r="D143" s="8">
        <v>4441</v>
      </c>
      <c r="F143" s="168" t="s">
        <v>2711</v>
      </c>
      <c r="G143" s="1"/>
      <c r="I143" s="1"/>
    </row>
    <row r="144" spans="1:9">
      <c r="A144" s="168" t="s">
        <v>833</v>
      </c>
      <c r="B144" s="168" t="s">
        <v>2857</v>
      </c>
      <c r="C144" s="1" t="s">
        <v>2858</v>
      </c>
      <c r="D144" s="7">
        <v>2700</v>
      </c>
      <c r="F144" s="168" t="s">
        <v>2708</v>
      </c>
      <c r="G144" s="1"/>
      <c r="I144" s="1"/>
    </row>
    <row r="145" spans="1:9">
      <c r="A145" s="168" t="s">
        <v>834</v>
      </c>
      <c r="B145" s="168" t="s">
        <v>2859</v>
      </c>
      <c r="C145" s="1" t="s">
        <v>2860</v>
      </c>
      <c r="D145" s="7">
        <v>4565</v>
      </c>
      <c r="F145" s="168" t="s">
        <v>2708</v>
      </c>
      <c r="G145" s="1"/>
      <c r="I145" s="1"/>
    </row>
    <row r="146" spans="1:9">
      <c r="A146" s="168" t="s">
        <v>835</v>
      </c>
      <c r="B146" s="168" t="s">
        <v>2861</v>
      </c>
      <c r="C146" s="1" t="s">
        <v>2862</v>
      </c>
      <c r="D146" s="7">
        <v>5538</v>
      </c>
      <c r="F146" s="168" t="s">
        <v>2708</v>
      </c>
      <c r="G146" s="1"/>
      <c r="I146" s="1"/>
    </row>
    <row r="147" spans="1:9">
      <c r="A147" s="168" t="s">
        <v>836</v>
      </c>
      <c r="B147" s="168" t="s">
        <v>2863</v>
      </c>
      <c r="C147" s="1" t="s">
        <v>2864</v>
      </c>
      <c r="D147" s="7">
        <v>6115</v>
      </c>
      <c r="F147" s="168" t="s">
        <v>2708</v>
      </c>
      <c r="G147" s="1"/>
      <c r="I147" s="1"/>
    </row>
    <row r="148" spans="1:9">
      <c r="A148" s="168" t="s">
        <v>837</v>
      </c>
      <c r="B148" s="168" t="s">
        <v>2865</v>
      </c>
      <c r="C148" s="1" t="s">
        <v>2866</v>
      </c>
      <c r="D148" s="7">
        <v>5119</v>
      </c>
      <c r="F148" s="168" t="s">
        <v>2708</v>
      </c>
      <c r="G148" s="1"/>
      <c r="I148" s="1"/>
    </row>
    <row r="149" spans="1:9">
      <c r="A149" s="168" t="s">
        <v>838</v>
      </c>
      <c r="B149" s="168" t="s">
        <v>2867</v>
      </c>
      <c r="C149" s="1" t="s">
        <v>2868</v>
      </c>
      <c r="D149" s="8">
        <v>4741</v>
      </c>
      <c r="F149" s="168" t="s">
        <v>2708</v>
      </c>
      <c r="G149" s="1"/>
      <c r="I149" s="1"/>
    </row>
    <row r="150" spans="1:9">
      <c r="A150" s="168" t="s">
        <v>840</v>
      </c>
      <c r="B150" s="168" t="s">
        <v>2869</v>
      </c>
      <c r="C150" s="1" t="s">
        <v>2870</v>
      </c>
      <c r="D150" s="8">
        <v>1645</v>
      </c>
      <c r="F150" s="168" t="s">
        <v>2708</v>
      </c>
      <c r="G150" s="1"/>
      <c r="I150" s="1"/>
    </row>
    <row r="151" spans="1:9">
      <c r="A151" s="168" t="s">
        <v>841</v>
      </c>
      <c r="B151" s="168" t="s">
        <v>2871</v>
      </c>
      <c r="C151" s="1" t="s">
        <v>2872</v>
      </c>
      <c r="D151" s="8">
        <v>5858</v>
      </c>
      <c r="F151" s="168" t="s">
        <v>2708</v>
      </c>
      <c r="G151" s="1"/>
      <c r="I151" s="1"/>
    </row>
    <row r="152" spans="1:9">
      <c r="A152" s="168" t="s">
        <v>878</v>
      </c>
      <c r="B152" s="168" t="s">
        <v>2873</v>
      </c>
      <c r="C152" s="1" t="s">
        <v>2874</v>
      </c>
      <c r="D152" s="8">
        <v>2159</v>
      </c>
      <c r="F152" s="168" t="s">
        <v>2711</v>
      </c>
      <c r="G152" s="1"/>
      <c r="I152" s="1"/>
    </row>
    <row r="153" spans="1:9">
      <c r="A153" s="168"/>
      <c r="B153" s="168"/>
      <c r="D153" s="171"/>
      <c r="F153" s="168"/>
    </row>
    <row r="154" spans="1:9">
      <c r="A154" s="168" t="s">
        <v>2708</v>
      </c>
      <c r="D154" s="171">
        <f t="shared" ref="D154" si="27">D132+D133+SUM(D135:D142)+SUM(D144:D151)</f>
        <v>72542</v>
      </c>
    </row>
    <row r="155" spans="1:9">
      <c r="A155" s="168" t="s">
        <v>2875</v>
      </c>
      <c r="D155" s="171">
        <f t="shared" ref="D155" si="28">D134+D143+D152</f>
        <v>8755</v>
      </c>
    </row>
    <row r="156" spans="1:9">
      <c r="A156" s="168"/>
      <c r="D156" s="171"/>
    </row>
    <row r="157" spans="1:9">
      <c r="A157" s="168" t="s">
        <v>2876</v>
      </c>
      <c r="D157" s="171"/>
    </row>
    <row r="158" spans="1:9">
      <c r="A158" s="168"/>
      <c r="B158" s="168"/>
      <c r="D158" s="177"/>
    </row>
    <row r="159" spans="1:9">
      <c r="A159" s="168"/>
      <c r="B159" s="168"/>
      <c r="D159" s="177"/>
    </row>
    <row r="160" spans="1:9">
      <c r="D160" s="10" t="s">
        <v>285</v>
      </c>
      <c r="E160" s="38"/>
      <c r="F160" s="38" t="s">
        <v>1842</v>
      </c>
    </row>
    <row r="161" spans="1:9">
      <c r="D161" s="39">
        <v>2016</v>
      </c>
      <c r="E161" s="38"/>
      <c r="F161" s="41" t="s">
        <v>286</v>
      </c>
    </row>
    <row r="162" spans="1:9">
      <c r="A162" s="168" t="s">
        <v>2877</v>
      </c>
      <c r="D162" s="171">
        <f>SUM(D163:D174)+SUM(D175:D184)</f>
        <v>77591</v>
      </c>
    </row>
    <row r="163" spans="1:9">
      <c r="A163" s="168" t="s">
        <v>812</v>
      </c>
      <c r="B163" s="168" t="s">
        <v>2878</v>
      </c>
      <c r="C163" s="1" t="s">
        <v>2879</v>
      </c>
      <c r="D163" s="7">
        <v>4510</v>
      </c>
      <c r="F163" s="168" t="s">
        <v>2711</v>
      </c>
      <c r="G163" s="1"/>
      <c r="I163" s="1"/>
    </row>
    <row r="164" spans="1:9">
      <c r="A164" s="168" t="s">
        <v>813</v>
      </c>
      <c r="B164" s="168" t="s">
        <v>2880</v>
      </c>
      <c r="C164" s="1" t="s">
        <v>2881</v>
      </c>
      <c r="D164" s="7">
        <v>5693</v>
      </c>
      <c r="F164" s="168" t="s">
        <v>2711</v>
      </c>
      <c r="G164" s="1"/>
      <c r="I164" s="1"/>
    </row>
    <row r="165" spans="1:9">
      <c r="A165" s="168" t="s">
        <v>814</v>
      </c>
      <c r="B165" s="168" t="s">
        <v>2882</v>
      </c>
      <c r="C165" s="1" t="s">
        <v>2883</v>
      </c>
      <c r="D165" s="7">
        <v>3447</v>
      </c>
      <c r="F165" s="168" t="s">
        <v>2711</v>
      </c>
      <c r="G165" s="1"/>
      <c r="I165" s="1"/>
    </row>
    <row r="166" spans="1:9">
      <c r="A166" s="168" t="s">
        <v>815</v>
      </c>
      <c r="B166" s="168" t="s">
        <v>2884</v>
      </c>
      <c r="C166" s="1" t="s">
        <v>2885</v>
      </c>
      <c r="D166" s="7">
        <v>5065</v>
      </c>
      <c r="F166" s="168" t="s">
        <v>2711</v>
      </c>
      <c r="G166" s="1"/>
      <c r="I166" s="1"/>
    </row>
    <row r="167" spans="1:9">
      <c r="A167" s="168" t="s">
        <v>816</v>
      </c>
      <c r="B167" s="168" t="s">
        <v>2886</v>
      </c>
      <c r="C167" s="1" t="s">
        <v>2887</v>
      </c>
      <c r="D167" s="8">
        <v>1762</v>
      </c>
      <c r="F167" s="168" t="s">
        <v>2723</v>
      </c>
      <c r="G167" s="1"/>
      <c r="I167" s="1"/>
    </row>
    <row r="168" spans="1:9">
      <c r="A168" s="168" t="s">
        <v>826</v>
      </c>
      <c r="B168" s="168" t="s">
        <v>2888</v>
      </c>
      <c r="C168" s="1" t="s">
        <v>2889</v>
      </c>
      <c r="D168" s="7">
        <v>3304</v>
      </c>
      <c r="F168" s="168" t="s">
        <v>2711</v>
      </c>
      <c r="G168" s="1"/>
      <c r="I168" s="1"/>
    </row>
    <row r="169" spans="1:9">
      <c r="A169" s="168" t="s">
        <v>827</v>
      </c>
      <c r="B169" s="168" t="s">
        <v>2890</v>
      </c>
      <c r="C169" s="1" t="s">
        <v>2891</v>
      </c>
      <c r="D169" s="7">
        <v>3717</v>
      </c>
      <c r="F169" s="168" t="s">
        <v>2711</v>
      </c>
      <c r="G169" s="1"/>
      <c r="I169" s="1"/>
    </row>
    <row r="170" spans="1:9">
      <c r="A170" s="168" t="s">
        <v>828</v>
      </c>
      <c r="B170" s="168" t="s">
        <v>2892</v>
      </c>
      <c r="C170" s="1" t="s">
        <v>2893</v>
      </c>
      <c r="D170" s="7">
        <v>2640</v>
      </c>
      <c r="F170" s="168" t="s">
        <v>2711</v>
      </c>
      <c r="G170" s="1"/>
      <c r="I170" s="1"/>
    </row>
    <row r="171" spans="1:9">
      <c r="A171" s="168" t="s">
        <v>829</v>
      </c>
      <c r="B171" s="168" t="s">
        <v>2894</v>
      </c>
      <c r="C171" s="1" t="s">
        <v>2895</v>
      </c>
      <c r="D171" s="7">
        <v>1768</v>
      </c>
      <c r="F171" s="168" t="s">
        <v>2711</v>
      </c>
      <c r="G171" s="1"/>
      <c r="I171" s="1"/>
    </row>
    <row r="172" spans="1:9">
      <c r="A172" s="168" t="s">
        <v>830</v>
      </c>
      <c r="B172" s="168" t="s">
        <v>2896</v>
      </c>
      <c r="C172" s="1" t="s">
        <v>2897</v>
      </c>
      <c r="D172" s="7">
        <v>3201</v>
      </c>
      <c r="F172" s="168" t="s">
        <v>2711</v>
      </c>
      <c r="G172" s="1"/>
      <c r="I172" s="1"/>
    </row>
    <row r="173" spans="1:9">
      <c r="A173" s="168" t="s">
        <v>831</v>
      </c>
      <c r="B173" s="168" t="s">
        <v>2898</v>
      </c>
      <c r="C173" s="1" t="s">
        <v>2899</v>
      </c>
      <c r="D173" s="8">
        <v>3458</v>
      </c>
      <c r="F173" s="168" t="s">
        <v>2723</v>
      </c>
      <c r="G173" s="1"/>
      <c r="I173" s="1"/>
    </row>
    <row r="174" spans="1:9">
      <c r="A174" s="168" t="s">
        <v>832</v>
      </c>
      <c r="B174" s="168" t="s">
        <v>2900</v>
      </c>
      <c r="C174" s="1" t="s">
        <v>2901</v>
      </c>
      <c r="D174" s="7">
        <v>3423</v>
      </c>
      <c r="F174" s="168" t="s">
        <v>2711</v>
      </c>
      <c r="G174" s="1"/>
      <c r="I174" s="1"/>
    </row>
    <row r="175" spans="1:9">
      <c r="A175" s="168" t="s">
        <v>833</v>
      </c>
      <c r="B175" s="168" t="s">
        <v>2902</v>
      </c>
      <c r="C175" s="1" t="s">
        <v>2903</v>
      </c>
      <c r="D175" s="7">
        <v>3652</v>
      </c>
      <c r="F175" s="168" t="s">
        <v>2711</v>
      </c>
      <c r="G175" s="1"/>
      <c r="I175" s="1"/>
    </row>
    <row r="176" spans="1:9">
      <c r="A176" s="168" t="s">
        <v>834</v>
      </c>
      <c r="B176" s="168" t="s">
        <v>2904</v>
      </c>
      <c r="C176" s="1" t="s">
        <v>2905</v>
      </c>
      <c r="D176" s="7">
        <v>4879</v>
      </c>
      <c r="F176" s="168" t="s">
        <v>2711</v>
      </c>
      <c r="G176" s="1"/>
      <c r="I176" s="1"/>
    </row>
    <row r="177" spans="1:9">
      <c r="A177" s="168" t="s">
        <v>835</v>
      </c>
      <c r="B177" s="168" t="s">
        <v>2906</v>
      </c>
      <c r="C177" s="1" t="s">
        <v>2907</v>
      </c>
      <c r="D177" s="8">
        <v>3977</v>
      </c>
      <c r="F177" s="168" t="s">
        <v>2723</v>
      </c>
      <c r="G177" s="1"/>
      <c r="I177" s="1"/>
    </row>
    <row r="178" spans="1:9">
      <c r="A178" s="168" t="s">
        <v>836</v>
      </c>
      <c r="B178" s="168" t="s">
        <v>2908</v>
      </c>
      <c r="C178" s="1" t="s">
        <v>2909</v>
      </c>
      <c r="D178" s="7">
        <v>1694</v>
      </c>
      <c r="F178" s="168" t="s">
        <v>2711</v>
      </c>
      <c r="G178" s="1"/>
      <c r="I178" s="1"/>
    </row>
    <row r="179" spans="1:9">
      <c r="A179" s="168" t="s">
        <v>837</v>
      </c>
      <c r="B179" s="168" t="s">
        <v>2910</v>
      </c>
      <c r="C179" s="1" t="s">
        <v>2911</v>
      </c>
      <c r="D179" s="8">
        <v>1535</v>
      </c>
      <c r="F179" s="168" t="s">
        <v>2723</v>
      </c>
      <c r="G179" s="1"/>
      <c r="I179" s="1"/>
    </row>
    <row r="180" spans="1:9">
      <c r="A180" s="168" t="s">
        <v>838</v>
      </c>
      <c r="B180" s="168" t="s">
        <v>2912</v>
      </c>
      <c r="C180" s="1" t="s">
        <v>2913</v>
      </c>
      <c r="D180" s="7">
        <v>4407</v>
      </c>
      <c r="F180" s="168" t="s">
        <v>2711</v>
      </c>
      <c r="G180" s="1"/>
      <c r="I180" s="1"/>
    </row>
    <row r="181" spans="1:9">
      <c r="A181" s="168" t="s">
        <v>840</v>
      </c>
      <c r="B181" s="168" t="s">
        <v>2914</v>
      </c>
      <c r="C181" s="1" t="s">
        <v>2915</v>
      </c>
      <c r="D181" s="8">
        <v>1890</v>
      </c>
      <c r="F181" s="168" t="s">
        <v>2723</v>
      </c>
      <c r="G181" s="1"/>
      <c r="I181" s="1"/>
    </row>
    <row r="182" spans="1:9">
      <c r="A182" s="168" t="s">
        <v>841</v>
      </c>
      <c r="B182" s="168" t="s">
        <v>2916</v>
      </c>
      <c r="C182" s="1" t="s">
        <v>2917</v>
      </c>
      <c r="D182" s="7">
        <v>4725</v>
      </c>
      <c r="F182" s="168" t="s">
        <v>2711</v>
      </c>
      <c r="G182" s="1"/>
      <c r="I182" s="1"/>
    </row>
    <row r="183" spans="1:9">
      <c r="A183" s="168" t="s">
        <v>878</v>
      </c>
      <c r="B183" s="168" t="s">
        <v>2918</v>
      </c>
      <c r="C183" s="1" t="s">
        <v>2919</v>
      </c>
      <c r="D183" s="8">
        <v>4850</v>
      </c>
      <c r="F183" s="168" t="s">
        <v>2711</v>
      </c>
      <c r="G183" s="1"/>
      <c r="I183" s="1"/>
    </row>
    <row r="184" spans="1:9">
      <c r="A184" s="168" t="s">
        <v>879</v>
      </c>
      <c r="B184" s="168" t="s">
        <v>2920</v>
      </c>
      <c r="C184" s="1" t="s">
        <v>2921</v>
      </c>
      <c r="D184" s="8">
        <v>3994</v>
      </c>
      <c r="F184" s="168" t="s">
        <v>2723</v>
      </c>
      <c r="G184" s="1"/>
      <c r="I184" s="1"/>
    </row>
    <row r="185" spans="1:9">
      <c r="D185" s="173"/>
    </row>
    <row r="186" spans="1:9">
      <c r="A186" s="168" t="s">
        <v>2875</v>
      </c>
      <c r="D186" s="171">
        <f>SUM(D163:D166)+SUM(D168:D172)+D174+D175+D176+D178+D180+D182+D183</f>
        <v>60975</v>
      </c>
    </row>
    <row r="187" spans="1:9">
      <c r="A187" s="168" t="s">
        <v>2922</v>
      </c>
      <c r="D187" s="171">
        <f>D167+D173+D177+D179+D181+D184</f>
        <v>16616</v>
      </c>
    </row>
    <row r="188" spans="1:9">
      <c r="A188" s="168"/>
      <c r="D188" s="171"/>
    </row>
    <row r="189" spans="1:9">
      <c r="A189" s="168" t="s">
        <v>2923</v>
      </c>
      <c r="D189" s="171"/>
    </row>
    <row r="190" spans="1:9">
      <c r="A190" s="168"/>
      <c r="B190" s="168"/>
      <c r="D190" s="177"/>
    </row>
    <row r="191" spans="1:9">
      <c r="A191" s="168"/>
      <c r="B191" s="168"/>
      <c r="D191" s="177"/>
    </row>
    <row r="192" spans="1:9">
      <c r="D192" s="10" t="s">
        <v>285</v>
      </c>
      <c r="E192" s="38"/>
      <c r="F192" s="38" t="s">
        <v>1842</v>
      </c>
    </row>
    <row r="193" spans="1:9">
      <c r="D193" s="39">
        <v>2016</v>
      </c>
      <c r="E193" s="38"/>
      <c r="F193" s="41" t="s">
        <v>286</v>
      </c>
    </row>
    <row r="194" spans="1:9">
      <c r="A194" s="168" t="s">
        <v>2924</v>
      </c>
      <c r="D194" s="171">
        <f t="shared" ref="D194" si="29">SUM(D195:D218)</f>
        <v>89247</v>
      </c>
    </row>
    <row r="195" spans="1:9">
      <c r="A195" s="168" t="s">
        <v>812</v>
      </c>
      <c r="B195" s="168" t="s">
        <v>2925</v>
      </c>
      <c r="C195" s="1" t="s">
        <v>2926</v>
      </c>
      <c r="D195" s="13">
        <v>4440</v>
      </c>
      <c r="F195" s="168" t="s">
        <v>2724</v>
      </c>
      <c r="G195" s="1"/>
      <c r="I195" s="1"/>
    </row>
    <row r="196" spans="1:9">
      <c r="A196" s="168" t="s">
        <v>813</v>
      </c>
      <c r="B196" s="168" t="s">
        <v>2927</v>
      </c>
      <c r="C196" s="1" t="s">
        <v>2928</v>
      </c>
      <c r="D196" s="13">
        <v>4655</v>
      </c>
      <c r="F196" s="168" t="s">
        <v>2714</v>
      </c>
      <c r="G196" s="1"/>
      <c r="I196" s="1"/>
    </row>
    <row r="197" spans="1:9">
      <c r="A197" s="168" t="s">
        <v>814</v>
      </c>
      <c r="B197" s="168" t="s">
        <v>2929</v>
      </c>
      <c r="C197" s="1" t="s">
        <v>2930</v>
      </c>
      <c r="D197" s="13">
        <v>4096</v>
      </c>
      <c r="F197" s="168" t="s">
        <v>2714</v>
      </c>
      <c r="G197" s="1"/>
      <c r="I197" s="1"/>
    </row>
    <row r="198" spans="1:9">
      <c r="A198" s="168" t="s">
        <v>815</v>
      </c>
      <c r="B198" s="168" t="s">
        <v>308</v>
      </c>
      <c r="C198" s="1" t="s">
        <v>2931</v>
      </c>
      <c r="D198" s="13">
        <v>4926</v>
      </c>
      <c r="F198" s="168" t="s">
        <v>2714</v>
      </c>
      <c r="G198" s="1"/>
      <c r="I198" s="1"/>
    </row>
    <row r="199" spans="1:9">
      <c r="A199" s="168" t="s">
        <v>816</v>
      </c>
      <c r="B199" s="168" t="s">
        <v>2932</v>
      </c>
      <c r="C199" s="1" t="s">
        <v>2933</v>
      </c>
      <c r="D199" s="13">
        <v>3123</v>
      </c>
      <c r="F199" s="168" t="s">
        <v>2714</v>
      </c>
      <c r="G199" s="1"/>
      <c r="I199" s="1"/>
    </row>
    <row r="200" spans="1:9">
      <c r="A200" s="168" t="s">
        <v>826</v>
      </c>
      <c r="B200" s="168" t="s">
        <v>2934</v>
      </c>
      <c r="C200" s="1" t="s">
        <v>2935</v>
      </c>
      <c r="D200" s="13">
        <v>4261</v>
      </c>
      <c r="F200" s="168" t="s">
        <v>2714</v>
      </c>
      <c r="G200" s="1"/>
      <c r="I200" s="1"/>
    </row>
    <row r="201" spans="1:9">
      <c r="A201" s="168" t="s">
        <v>827</v>
      </c>
      <c r="B201" s="168" t="s">
        <v>2936</v>
      </c>
      <c r="C201" s="1" t="s">
        <v>2937</v>
      </c>
      <c r="D201" s="13">
        <v>2947</v>
      </c>
      <c r="F201" s="168" t="s">
        <v>2724</v>
      </c>
      <c r="G201" s="1"/>
      <c r="I201" s="1"/>
    </row>
    <row r="202" spans="1:9">
      <c r="A202" s="168" t="s">
        <v>828</v>
      </c>
      <c r="B202" s="168" t="s">
        <v>2938</v>
      </c>
      <c r="C202" s="1" t="s">
        <v>2939</v>
      </c>
      <c r="D202" s="13">
        <v>3201</v>
      </c>
      <c r="F202" s="168" t="s">
        <v>2714</v>
      </c>
      <c r="G202" s="1"/>
      <c r="I202" s="1"/>
    </row>
    <row r="203" spans="1:9">
      <c r="A203" s="168" t="s">
        <v>829</v>
      </c>
      <c r="B203" s="168" t="s">
        <v>2940</v>
      </c>
      <c r="C203" s="1" t="s">
        <v>2941</v>
      </c>
      <c r="D203" s="13">
        <v>1220</v>
      </c>
      <c r="F203" s="168" t="s">
        <v>2714</v>
      </c>
      <c r="G203" s="1"/>
      <c r="I203" s="1"/>
    </row>
    <row r="204" spans="1:9">
      <c r="A204" s="168" t="s">
        <v>830</v>
      </c>
      <c r="B204" s="168" t="s">
        <v>2942</v>
      </c>
      <c r="C204" s="1" t="s">
        <v>2943</v>
      </c>
      <c r="D204" s="13">
        <v>4811</v>
      </c>
      <c r="F204" s="168" t="s">
        <v>2714</v>
      </c>
      <c r="G204" s="1"/>
      <c r="I204" s="1"/>
    </row>
    <row r="205" spans="1:9">
      <c r="A205" s="168" t="s">
        <v>831</v>
      </c>
      <c r="B205" s="168" t="s">
        <v>2944</v>
      </c>
      <c r="C205" s="1" t="s">
        <v>2945</v>
      </c>
      <c r="D205" s="13">
        <v>2890</v>
      </c>
      <c r="F205" s="168" t="s">
        <v>2714</v>
      </c>
      <c r="G205" s="1"/>
      <c r="I205" s="1"/>
    </row>
    <row r="206" spans="1:9">
      <c r="A206" s="168" t="s">
        <v>832</v>
      </c>
      <c r="B206" s="168" t="s">
        <v>2946</v>
      </c>
      <c r="C206" s="1" t="s">
        <v>2947</v>
      </c>
      <c r="D206" s="13">
        <v>5403</v>
      </c>
      <c r="F206" s="168" t="s">
        <v>2724</v>
      </c>
      <c r="G206" s="1"/>
      <c r="I206" s="1"/>
    </row>
    <row r="207" spans="1:9">
      <c r="A207" s="168" t="s">
        <v>833</v>
      </c>
      <c r="B207" s="168" t="s">
        <v>2948</v>
      </c>
      <c r="C207" s="1" t="s">
        <v>2949</v>
      </c>
      <c r="D207" s="13">
        <v>3283</v>
      </c>
      <c r="F207" s="168" t="s">
        <v>2724</v>
      </c>
      <c r="G207" s="1"/>
      <c r="I207" s="1"/>
    </row>
    <row r="208" spans="1:9">
      <c r="A208" s="168" t="s">
        <v>834</v>
      </c>
      <c r="B208" s="168" t="s">
        <v>2950</v>
      </c>
      <c r="C208" s="1" t="s">
        <v>2951</v>
      </c>
      <c r="D208" s="13">
        <v>4643</v>
      </c>
      <c r="F208" s="168" t="s">
        <v>2714</v>
      </c>
      <c r="G208" s="1"/>
      <c r="I208" s="1"/>
    </row>
    <row r="209" spans="1:9">
      <c r="A209" s="168" t="s">
        <v>835</v>
      </c>
      <c r="B209" s="168" t="s">
        <v>2952</v>
      </c>
      <c r="C209" s="1" t="s">
        <v>2953</v>
      </c>
      <c r="D209" s="13">
        <v>2679</v>
      </c>
      <c r="F209" s="168" t="s">
        <v>2714</v>
      </c>
      <c r="G209" s="1"/>
      <c r="I209" s="1"/>
    </row>
    <row r="210" spans="1:9">
      <c r="A210" s="168" t="s">
        <v>836</v>
      </c>
      <c r="B210" s="168" t="s">
        <v>2592</v>
      </c>
      <c r="C210" s="1" t="s">
        <v>2954</v>
      </c>
      <c r="D210" s="13">
        <v>2984</v>
      </c>
      <c r="F210" s="168" t="s">
        <v>2714</v>
      </c>
      <c r="G210" s="1"/>
      <c r="I210" s="1"/>
    </row>
    <row r="211" spans="1:9">
      <c r="A211" s="168" t="s">
        <v>837</v>
      </c>
      <c r="B211" s="168" t="s">
        <v>2955</v>
      </c>
      <c r="C211" s="1" t="s">
        <v>2956</v>
      </c>
      <c r="D211" s="13">
        <v>3065</v>
      </c>
      <c r="F211" s="168" t="s">
        <v>2714</v>
      </c>
      <c r="G211" s="1"/>
      <c r="I211" s="1"/>
    </row>
    <row r="212" spans="1:9">
      <c r="A212" s="168" t="s">
        <v>838</v>
      </c>
      <c r="B212" s="168" t="s">
        <v>2957</v>
      </c>
      <c r="C212" s="1" t="s">
        <v>2958</v>
      </c>
      <c r="D212" s="13">
        <v>4362</v>
      </c>
      <c r="F212" s="168" t="s">
        <v>2714</v>
      </c>
      <c r="G212" s="1"/>
      <c r="I212" s="1"/>
    </row>
    <row r="213" spans="1:9">
      <c r="A213" s="168" t="s">
        <v>840</v>
      </c>
      <c r="B213" s="168" t="s">
        <v>2959</v>
      </c>
      <c r="C213" s="1" t="s">
        <v>2960</v>
      </c>
      <c r="D213" s="13">
        <v>2983</v>
      </c>
      <c r="F213" s="168" t="s">
        <v>2714</v>
      </c>
      <c r="G213" s="1"/>
      <c r="I213" s="1"/>
    </row>
    <row r="214" spans="1:9">
      <c r="A214" s="168" t="s">
        <v>841</v>
      </c>
      <c r="B214" s="168" t="s">
        <v>2961</v>
      </c>
      <c r="C214" s="1" t="s">
        <v>2962</v>
      </c>
      <c r="D214" s="13">
        <v>2974</v>
      </c>
      <c r="F214" s="168" t="s">
        <v>2714</v>
      </c>
      <c r="G214" s="1"/>
      <c r="I214" s="1"/>
    </row>
    <row r="215" spans="1:9">
      <c r="A215" s="168" t="s">
        <v>878</v>
      </c>
      <c r="B215" s="168" t="s">
        <v>2963</v>
      </c>
      <c r="C215" s="1" t="s">
        <v>2964</v>
      </c>
      <c r="D215" s="13">
        <v>4628</v>
      </c>
      <c r="F215" s="168" t="s">
        <v>2714</v>
      </c>
      <c r="G215" s="1"/>
      <c r="I215" s="1"/>
    </row>
    <row r="216" spans="1:9">
      <c r="A216" s="168" t="s">
        <v>879</v>
      </c>
      <c r="B216" s="168" t="s">
        <v>2865</v>
      </c>
      <c r="C216" s="1" t="s">
        <v>2965</v>
      </c>
      <c r="D216" s="13">
        <v>2949</v>
      </c>
      <c r="F216" s="168" t="s">
        <v>2714</v>
      </c>
      <c r="G216" s="1"/>
      <c r="I216" s="1"/>
    </row>
    <row r="217" spans="1:9">
      <c r="A217" s="168" t="s">
        <v>880</v>
      </c>
      <c r="B217" s="168" t="s">
        <v>2966</v>
      </c>
      <c r="C217" s="1" t="s">
        <v>2967</v>
      </c>
      <c r="D217" s="13">
        <v>4377</v>
      </c>
      <c r="F217" s="168" t="s">
        <v>2714</v>
      </c>
      <c r="G217" s="1"/>
      <c r="I217" s="1"/>
    </row>
    <row r="218" spans="1:9">
      <c r="A218" s="178">
        <v>24</v>
      </c>
      <c r="B218" s="168" t="s">
        <v>2968</v>
      </c>
      <c r="C218" s="1" t="s">
        <v>2969</v>
      </c>
      <c r="D218" s="13">
        <v>4347</v>
      </c>
      <c r="F218" s="168" t="s">
        <v>2714</v>
      </c>
      <c r="G218" s="1"/>
      <c r="I218" s="1"/>
    </row>
    <row r="219" spans="1:9">
      <c r="D219" s="173"/>
    </row>
    <row r="220" spans="1:9">
      <c r="A220" s="168" t="s">
        <v>2714</v>
      </c>
      <c r="D220" s="171">
        <f>SUM(D196:D200)+SUM(D202:D205)+SUM(D208:D218)</f>
        <v>73174</v>
      </c>
    </row>
    <row r="221" spans="1:9" ht="16.5" customHeight="1">
      <c r="A221" s="168" t="s">
        <v>2800</v>
      </c>
      <c r="D221" s="171">
        <f>D195+D201+D206+D207</f>
        <v>16073</v>
      </c>
    </row>
    <row r="222" spans="1:9" ht="16.5" customHeight="1">
      <c r="A222" s="168"/>
      <c r="D222" s="171"/>
    </row>
    <row r="223" spans="1:9" ht="16.5" customHeight="1">
      <c r="A223" s="168" t="s">
        <v>2970</v>
      </c>
      <c r="D223" s="171"/>
    </row>
    <row r="224" spans="1:9" ht="16.5" customHeight="1">
      <c r="A224" s="168"/>
      <c r="B224" s="168"/>
      <c r="D224" s="177"/>
    </row>
    <row r="225" spans="1:9" ht="16.5" customHeight="1">
      <c r="A225" s="168"/>
      <c r="B225" s="168"/>
      <c r="D225" s="177"/>
    </row>
    <row r="226" spans="1:9" ht="16.5" customHeight="1">
      <c r="D226" s="10" t="s">
        <v>285</v>
      </c>
      <c r="E226" s="38"/>
      <c r="F226" s="38" t="s">
        <v>1842</v>
      </c>
    </row>
    <row r="227" spans="1:9">
      <c r="D227" s="39">
        <v>2016</v>
      </c>
      <c r="E227" s="38"/>
      <c r="F227" s="41" t="s">
        <v>286</v>
      </c>
    </row>
    <row r="228" spans="1:9">
      <c r="A228" s="168" t="s">
        <v>2971</v>
      </c>
      <c r="D228" s="171">
        <f t="shared" ref="D228" si="30">SUM(D229:D240)+SUM(D241:D253)</f>
        <v>83407</v>
      </c>
    </row>
    <row r="229" spans="1:9">
      <c r="A229" s="168" t="s">
        <v>812</v>
      </c>
      <c r="B229" s="168" t="s">
        <v>2972</v>
      </c>
      <c r="C229" s="1" t="s">
        <v>2973</v>
      </c>
      <c r="D229" s="7">
        <v>3160</v>
      </c>
      <c r="F229" s="168" t="s">
        <v>2716</v>
      </c>
      <c r="G229" s="1"/>
      <c r="I229" s="1"/>
    </row>
    <row r="230" spans="1:9">
      <c r="A230" s="168" t="s">
        <v>813</v>
      </c>
      <c r="B230" s="168" t="s">
        <v>2974</v>
      </c>
      <c r="C230" s="1" t="s">
        <v>2975</v>
      </c>
      <c r="D230" s="7">
        <v>5374</v>
      </c>
      <c r="F230" s="168" t="s">
        <v>2716</v>
      </c>
      <c r="G230" s="1"/>
      <c r="I230" s="1"/>
    </row>
    <row r="231" spans="1:9">
      <c r="A231" s="168" t="s">
        <v>814</v>
      </c>
      <c r="B231" s="168" t="s">
        <v>2976</v>
      </c>
      <c r="C231" s="1" t="s">
        <v>2977</v>
      </c>
      <c r="D231" s="7">
        <v>3327</v>
      </c>
      <c r="F231" s="168" t="s">
        <v>2716</v>
      </c>
      <c r="G231" s="1"/>
      <c r="I231" s="1"/>
    </row>
    <row r="232" spans="1:9">
      <c r="A232" s="168" t="s">
        <v>815</v>
      </c>
      <c r="B232" s="168" t="s">
        <v>2978</v>
      </c>
      <c r="C232" s="1" t="s">
        <v>2979</v>
      </c>
      <c r="D232" s="7">
        <v>2908</v>
      </c>
      <c r="F232" s="168" t="s">
        <v>2716</v>
      </c>
      <c r="G232" s="1"/>
      <c r="I232" s="1"/>
    </row>
    <row r="233" spans="1:9">
      <c r="A233" s="168" t="s">
        <v>816</v>
      </c>
      <c r="B233" s="168" t="s">
        <v>2980</v>
      </c>
      <c r="C233" s="1" t="s">
        <v>2981</v>
      </c>
      <c r="D233" s="7">
        <v>3265</v>
      </c>
      <c r="F233" s="168" t="s">
        <v>2716</v>
      </c>
      <c r="G233" s="1"/>
      <c r="I233" s="1"/>
    </row>
    <row r="234" spans="1:9">
      <c r="A234" s="168" t="s">
        <v>826</v>
      </c>
      <c r="B234" s="168" t="s">
        <v>2982</v>
      </c>
      <c r="C234" s="1" t="s">
        <v>2983</v>
      </c>
      <c r="D234" s="7">
        <v>3135</v>
      </c>
      <c r="F234" s="168" t="s">
        <v>2716</v>
      </c>
      <c r="G234" s="1"/>
      <c r="I234" s="1"/>
    </row>
    <row r="235" spans="1:9">
      <c r="A235" s="168" t="s">
        <v>827</v>
      </c>
      <c r="B235" s="168" t="s">
        <v>2984</v>
      </c>
      <c r="C235" s="1" t="s">
        <v>2985</v>
      </c>
      <c r="D235" s="7">
        <v>4020</v>
      </c>
      <c r="F235" s="168" t="s">
        <v>2716</v>
      </c>
      <c r="G235" s="1"/>
      <c r="I235" s="1"/>
    </row>
    <row r="236" spans="1:9">
      <c r="A236" s="168" t="s">
        <v>828</v>
      </c>
      <c r="B236" s="168" t="s">
        <v>2986</v>
      </c>
      <c r="C236" s="1" t="s">
        <v>2987</v>
      </c>
      <c r="D236" s="7">
        <v>3663</v>
      </c>
      <c r="F236" s="168" t="s">
        <v>2716</v>
      </c>
      <c r="G236" s="1"/>
      <c r="I236" s="1"/>
    </row>
    <row r="237" spans="1:9">
      <c r="A237" s="168" t="s">
        <v>829</v>
      </c>
      <c r="B237" s="168" t="s">
        <v>2988</v>
      </c>
      <c r="C237" s="1" t="s">
        <v>2989</v>
      </c>
      <c r="D237" s="7">
        <v>3639</v>
      </c>
      <c r="F237" s="168" t="s">
        <v>2716</v>
      </c>
      <c r="G237" s="1"/>
      <c r="I237" s="1"/>
    </row>
    <row r="238" spans="1:9">
      <c r="A238" s="168" t="s">
        <v>830</v>
      </c>
      <c r="B238" s="168" t="s">
        <v>2990</v>
      </c>
      <c r="C238" s="1" t="s">
        <v>2991</v>
      </c>
      <c r="D238" s="7">
        <v>4936</v>
      </c>
      <c r="F238" s="168" t="s">
        <v>2716</v>
      </c>
      <c r="G238" s="1"/>
      <c r="I238" s="1"/>
    </row>
    <row r="239" spans="1:9">
      <c r="A239" s="168" t="s">
        <v>831</v>
      </c>
      <c r="B239" s="168" t="s">
        <v>2992</v>
      </c>
      <c r="C239" s="1" t="s">
        <v>2993</v>
      </c>
      <c r="D239" s="7">
        <v>1788</v>
      </c>
      <c r="F239" s="168" t="s">
        <v>2716</v>
      </c>
      <c r="G239" s="1"/>
      <c r="I239" s="1"/>
    </row>
    <row r="240" spans="1:9">
      <c r="A240" s="168" t="s">
        <v>832</v>
      </c>
      <c r="B240" s="168" t="s">
        <v>2994</v>
      </c>
      <c r="C240" s="1" t="s">
        <v>2995</v>
      </c>
      <c r="D240" s="7">
        <v>3835</v>
      </c>
      <c r="F240" s="168" t="s">
        <v>2716</v>
      </c>
      <c r="G240" s="1"/>
      <c r="I240" s="1"/>
    </row>
    <row r="241" spans="1:9">
      <c r="A241" s="168" t="s">
        <v>833</v>
      </c>
      <c r="B241" s="168" t="s">
        <v>2996</v>
      </c>
      <c r="C241" s="1" t="s">
        <v>2997</v>
      </c>
      <c r="D241" s="7">
        <v>5912</v>
      </c>
      <c r="F241" s="168" t="s">
        <v>2716</v>
      </c>
      <c r="G241" s="1"/>
      <c r="I241" s="1"/>
    </row>
    <row r="242" spans="1:9">
      <c r="A242" s="168" t="s">
        <v>834</v>
      </c>
      <c r="B242" s="168" t="s">
        <v>2998</v>
      </c>
      <c r="C242" s="1" t="s">
        <v>2999</v>
      </c>
      <c r="D242" s="7">
        <v>1805</v>
      </c>
      <c r="F242" s="168" t="s">
        <v>2716</v>
      </c>
      <c r="G242" s="1"/>
      <c r="I242" s="1"/>
    </row>
    <row r="243" spans="1:9">
      <c r="A243" s="168" t="s">
        <v>835</v>
      </c>
      <c r="B243" s="168" t="s">
        <v>3000</v>
      </c>
      <c r="C243" s="1" t="s">
        <v>3001</v>
      </c>
      <c r="D243" s="8">
        <v>2949</v>
      </c>
      <c r="F243" s="168" t="s">
        <v>2718</v>
      </c>
      <c r="G243" s="1"/>
      <c r="I243" s="1"/>
    </row>
    <row r="244" spans="1:9">
      <c r="A244" s="168" t="s">
        <v>836</v>
      </c>
      <c r="B244" s="168" t="s">
        <v>3002</v>
      </c>
      <c r="C244" s="1" t="s">
        <v>3003</v>
      </c>
      <c r="D244" s="8">
        <v>3377</v>
      </c>
      <c r="F244" s="168" t="s">
        <v>2718</v>
      </c>
      <c r="G244" s="1"/>
      <c r="I244" s="1"/>
    </row>
    <row r="245" spans="1:9">
      <c r="A245" s="168" t="s">
        <v>837</v>
      </c>
      <c r="B245" s="168" t="s">
        <v>3004</v>
      </c>
      <c r="C245" s="1" t="s">
        <v>3005</v>
      </c>
      <c r="D245" s="8">
        <v>1758</v>
      </c>
      <c r="F245" s="168" t="s">
        <v>2718</v>
      </c>
      <c r="G245" s="1"/>
      <c r="I245" s="1"/>
    </row>
    <row r="246" spans="1:9">
      <c r="A246" s="168" t="s">
        <v>838</v>
      </c>
      <c r="B246" s="168" t="s">
        <v>3006</v>
      </c>
      <c r="C246" s="1" t="s">
        <v>3007</v>
      </c>
      <c r="D246" s="7">
        <v>1530</v>
      </c>
      <c r="F246" s="168" t="s">
        <v>2716</v>
      </c>
      <c r="G246" s="1"/>
      <c r="I246" s="1"/>
    </row>
    <row r="247" spans="1:9">
      <c r="A247" s="168" t="s">
        <v>840</v>
      </c>
      <c r="B247" s="168" t="s">
        <v>3008</v>
      </c>
      <c r="C247" s="1" t="s">
        <v>3009</v>
      </c>
      <c r="D247" s="8">
        <v>1689</v>
      </c>
      <c r="F247" s="168" t="s">
        <v>2716</v>
      </c>
      <c r="G247" s="1"/>
      <c r="I247" s="1"/>
    </row>
    <row r="248" spans="1:9">
      <c r="A248" s="168" t="s">
        <v>841</v>
      </c>
      <c r="B248" s="168" t="s">
        <v>3010</v>
      </c>
      <c r="C248" s="1" t="s">
        <v>3011</v>
      </c>
      <c r="D248" s="8">
        <v>4657</v>
      </c>
      <c r="F248" s="168" t="s">
        <v>2716</v>
      </c>
      <c r="G248" s="1"/>
      <c r="I248" s="1"/>
    </row>
    <row r="249" spans="1:9">
      <c r="A249" s="168" t="s">
        <v>878</v>
      </c>
      <c r="B249" s="168" t="s">
        <v>3012</v>
      </c>
      <c r="C249" s="1" t="s">
        <v>3013</v>
      </c>
      <c r="D249" s="8">
        <v>1759</v>
      </c>
      <c r="F249" s="168" t="s">
        <v>2716</v>
      </c>
      <c r="G249" s="1"/>
      <c r="I249" s="1"/>
    </row>
    <row r="250" spans="1:9">
      <c r="A250" s="168" t="s">
        <v>879</v>
      </c>
      <c r="B250" s="168" t="s">
        <v>3014</v>
      </c>
      <c r="C250" s="1" t="s">
        <v>3015</v>
      </c>
      <c r="D250" s="8">
        <v>3191</v>
      </c>
      <c r="F250" s="168" t="s">
        <v>2718</v>
      </c>
      <c r="G250" s="1"/>
      <c r="I250" s="1"/>
    </row>
    <row r="251" spans="1:9">
      <c r="A251" s="168" t="s">
        <v>880</v>
      </c>
      <c r="B251" s="168" t="s">
        <v>3016</v>
      </c>
      <c r="C251" s="1" t="s">
        <v>3017</v>
      </c>
      <c r="D251" s="8">
        <v>5203</v>
      </c>
      <c r="F251" s="168" t="s">
        <v>2716</v>
      </c>
      <c r="G251" s="1"/>
      <c r="I251" s="1"/>
    </row>
    <row r="252" spans="1:9">
      <c r="A252" s="168" t="s">
        <v>721</v>
      </c>
      <c r="B252" s="168" t="s">
        <v>3018</v>
      </c>
      <c r="C252" s="1" t="s">
        <v>3019</v>
      </c>
      <c r="D252" s="8">
        <v>3119</v>
      </c>
      <c r="F252" s="168" t="s">
        <v>2716</v>
      </c>
      <c r="G252" s="1"/>
      <c r="I252" s="1"/>
    </row>
    <row r="253" spans="1:9">
      <c r="A253" s="168" t="s">
        <v>722</v>
      </c>
      <c r="B253" s="168" t="s">
        <v>3020</v>
      </c>
      <c r="C253" s="1" t="s">
        <v>3021</v>
      </c>
      <c r="D253" s="8">
        <v>3408</v>
      </c>
      <c r="F253" s="168" t="s">
        <v>2716</v>
      </c>
      <c r="G253" s="1"/>
      <c r="I253" s="1"/>
    </row>
    <row r="254" spans="1:9">
      <c r="D254" s="173"/>
    </row>
    <row r="255" spans="1:9">
      <c r="A255" s="168" t="s">
        <v>2716</v>
      </c>
      <c r="D255" s="171">
        <f t="shared" ref="D255" si="31">SUM(D229:D239)+D240+D241+D242+SUM(D246:D249)+SUM(D251:D253)</f>
        <v>72132</v>
      </c>
    </row>
    <row r="256" spans="1:9">
      <c r="A256" s="168" t="s">
        <v>3022</v>
      </c>
      <c r="D256" s="171">
        <f t="shared" ref="D256" si="32">SUM(D243:D245)+D250</f>
        <v>11275</v>
      </c>
    </row>
    <row r="257" spans="1:9">
      <c r="A257" s="168"/>
      <c r="D257" s="171"/>
    </row>
    <row r="258" spans="1:9">
      <c r="A258" s="168" t="s">
        <v>3023</v>
      </c>
      <c r="D258" s="171"/>
    </row>
    <row r="259" spans="1:9">
      <c r="A259" s="168"/>
      <c r="B259" s="168"/>
      <c r="D259" s="177"/>
    </row>
    <row r="260" spans="1:9">
      <c r="A260" s="168"/>
      <c r="B260" s="168"/>
      <c r="D260" s="177"/>
    </row>
    <row r="261" spans="1:9">
      <c r="D261" s="10" t="s">
        <v>285</v>
      </c>
      <c r="E261" s="38"/>
      <c r="F261" s="38" t="s">
        <v>1842</v>
      </c>
    </row>
    <row r="262" spans="1:9">
      <c r="D262" s="39">
        <v>2016</v>
      </c>
      <c r="E262" s="38"/>
      <c r="F262" s="41" t="s">
        <v>286</v>
      </c>
    </row>
    <row r="263" spans="1:9">
      <c r="A263" s="168" t="s">
        <v>2705</v>
      </c>
      <c r="D263" s="171">
        <f>SUM(D264:D279)+SUM(D280:D283)+SUM(D284:D286)</f>
        <v>95558</v>
      </c>
    </row>
    <row r="264" spans="1:9">
      <c r="A264" s="168" t="s">
        <v>812</v>
      </c>
      <c r="B264" s="168" t="s">
        <v>3024</v>
      </c>
      <c r="C264" s="1" t="s">
        <v>3025</v>
      </c>
      <c r="D264" s="13">
        <v>2164</v>
      </c>
      <c r="F264" s="168" t="s">
        <v>2724</v>
      </c>
      <c r="G264" s="1"/>
      <c r="I264" s="1"/>
    </row>
    <row r="265" spans="1:9">
      <c r="A265" s="168" t="s">
        <v>813</v>
      </c>
      <c r="B265" s="168" t="s">
        <v>3026</v>
      </c>
      <c r="C265" s="1" t="s">
        <v>3027</v>
      </c>
      <c r="D265" s="13">
        <v>4993</v>
      </c>
      <c r="F265" s="168" t="s">
        <v>2718</v>
      </c>
      <c r="G265" s="1"/>
      <c r="I265" s="1"/>
    </row>
    <row r="266" spans="1:9">
      <c r="A266" s="168" t="s">
        <v>814</v>
      </c>
      <c r="B266" s="168" t="s">
        <v>3028</v>
      </c>
      <c r="C266" s="1" t="s">
        <v>3029</v>
      </c>
      <c r="D266" s="13">
        <v>2629</v>
      </c>
      <c r="F266" s="168" t="s">
        <v>2718</v>
      </c>
      <c r="G266" s="1"/>
      <c r="I266" s="1"/>
    </row>
    <row r="267" spans="1:9">
      <c r="A267" s="168" t="s">
        <v>815</v>
      </c>
      <c r="B267" s="168" t="s">
        <v>3030</v>
      </c>
      <c r="C267" s="1" t="s">
        <v>3031</v>
      </c>
      <c r="D267" s="13">
        <v>4080</v>
      </c>
      <c r="F267" s="168" t="s">
        <v>2718</v>
      </c>
      <c r="G267" s="1"/>
      <c r="I267" s="1"/>
    </row>
    <row r="268" spans="1:9">
      <c r="A268" s="168" t="s">
        <v>816</v>
      </c>
      <c r="B268" s="168" t="s">
        <v>3032</v>
      </c>
      <c r="C268" s="1" t="s">
        <v>3033</v>
      </c>
      <c r="D268" s="13">
        <v>2334</v>
      </c>
      <c r="F268" s="168" t="s">
        <v>2718</v>
      </c>
      <c r="G268" s="1"/>
      <c r="I268" s="1"/>
    </row>
    <row r="269" spans="1:9">
      <c r="A269" s="168" t="s">
        <v>826</v>
      </c>
      <c r="B269" s="168" t="s">
        <v>3034</v>
      </c>
      <c r="C269" s="1" t="s">
        <v>3035</v>
      </c>
      <c r="D269" s="13">
        <v>5074</v>
      </c>
      <c r="F269" s="168" t="s">
        <v>2724</v>
      </c>
      <c r="G269" s="1"/>
      <c r="I269" s="1"/>
    </row>
    <row r="270" spans="1:9">
      <c r="A270" s="168" t="s">
        <v>827</v>
      </c>
      <c r="B270" s="168" t="s">
        <v>3036</v>
      </c>
      <c r="C270" s="1" t="s">
        <v>3037</v>
      </c>
      <c r="D270" s="13">
        <v>2071</v>
      </c>
      <c r="F270" s="168" t="s">
        <v>2718</v>
      </c>
      <c r="G270" s="1"/>
      <c r="I270" s="1"/>
    </row>
    <row r="271" spans="1:9">
      <c r="A271" s="168" t="s">
        <v>828</v>
      </c>
      <c r="B271" s="168" t="s">
        <v>3038</v>
      </c>
      <c r="C271" s="1" t="s">
        <v>3039</v>
      </c>
      <c r="D271" s="13">
        <v>4658</v>
      </c>
      <c r="F271" s="168" t="s">
        <v>2724</v>
      </c>
      <c r="G271" s="1"/>
      <c r="I271" s="1"/>
    </row>
    <row r="272" spans="1:9">
      <c r="A272" s="168" t="s">
        <v>829</v>
      </c>
      <c r="B272" s="168" t="s">
        <v>3040</v>
      </c>
      <c r="C272" s="1" t="s">
        <v>3041</v>
      </c>
      <c r="D272" s="13">
        <v>5177</v>
      </c>
      <c r="F272" s="168" t="s">
        <v>2718</v>
      </c>
      <c r="G272" s="1"/>
      <c r="I272" s="1"/>
    </row>
    <row r="273" spans="1:9">
      <c r="A273" s="168" t="s">
        <v>830</v>
      </c>
      <c r="B273" s="168" t="s">
        <v>3042</v>
      </c>
      <c r="C273" s="1" t="s">
        <v>3043</v>
      </c>
      <c r="D273" s="13">
        <v>5048</v>
      </c>
      <c r="F273" s="168" t="s">
        <v>2711</v>
      </c>
      <c r="G273" s="1"/>
      <c r="I273" s="1"/>
    </row>
    <row r="274" spans="1:9">
      <c r="A274" s="168" t="s">
        <v>831</v>
      </c>
      <c r="B274" s="168" t="s">
        <v>3044</v>
      </c>
      <c r="C274" s="1" t="s">
        <v>3045</v>
      </c>
      <c r="D274" s="13">
        <v>4769</v>
      </c>
      <c r="F274" s="168" t="s">
        <v>2718</v>
      </c>
      <c r="G274" s="1"/>
      <c r="I274" s="1"/>
    </row>
    <row r="275" spans="1:9">
      <c r="A275" s="168" t="s">
        <v>832</v>
      </c>
      <c r="B275" s="168" t="s">
        <v>3046</v>
      </c>
      <c r="C275" s="1" t="s">
        <v>3047</v>
      </c>
      <c r="D275" s="13">
        <v>5334</v>
      </c>
      <c r="F275" s="168" t="s">
        <v>2718</v>
      </c>
      <c r="G275" s="1"/>
      <c r="I275" s="1"/>
    </row>
    <row r="276" spans="1:9">
      <c r="A276" s="168" t="s">
        <v>833</v>
      </c>
      <c r="B276" s="168" t="s">
        <v>3048</v>
      </c>
      <c r="C276" s="1" t="s">
        <v>3049</v>
      </c>
      <c r="D276" s="13">
        <v>4282</v>
      </c>
      <c r="F276" s="168" t="s">
        <v>2718</v>
      </c>
      <c r="G276" s="1"/>
      <c r="I276" s="1"/>
    </row>
    <row r="277" spans="1:9">
      <c r="A277" s="168" t="s">
        <v>834</v>
      </c>
      <c r="B277" s="168" t="s">
        <v>3050</v>
      </c>
      <c r="C277" s="1" t="s">
        <v>3051</v>
      </c>
      <c r="D277" s="13">
        <v>5150</v>
      </c>
      <c r="F277" s="168" t="s">
        <v>2718</v>
      </c>
      <c r="G277" s="1"/>
      <c r="I277" s="1"/>
    </row>
    <row r="278" spans="1:9">
      <c r="A278" s="168" t="s">
        <v>835</v>
      </c>
      <c r="B278" s="168" t="s">
        <v>3052</v>
      </c>
      <c r="C278" s="1" t="s">
        <v>3053</v>
      </c>
      <c r="D278" s="13">
        <v>2438</v>
      </c>
      <c r="F278" s="168" t="s">
        <v>2718</v>
      </c>
      <c r="G278" s="1"/>
      <c r="I278" s="1"/>
    </row>
    <row r="279" spans="1:9">
      <c r="A279" s="168" t="s">
        <v>836</v>
      </c>
      <c r="B279" s="168" t="s">
        <v>3054</v>
      </c>
      <c r="C279" s="1" t="s">
        <v>3055</v>
      </c>
      <c r="D279" s="13">
        <v>4285</v>
      </c>
      <c r="F279" s="168" t="s">
        <v>2718</v>
      </c>
      <c r="G279" s="1"/>
      <c r="I279" s="1"/>
    </row>
    <row r="280" spans="1:9">
      <c r="A280" s="168" t="s">
        <v>837</v>
      </c>
      <c r="B280" s="168" t="s">
        <v>3056</v>
      </c>
      <c r="C280" s="1" t="s">
        <v>3057</v>
      </c>
      <c r="D280" s="13">
        <v>2411</v>
      </c>
      <c r="F280" s="168" t="s">
        <v>2718</v>
      </c>
      <c r="G280" s="1"/>
      <c r="I280" s="1"/>
    </row>
    <row r="281" spans="1:9">
      <c r="A281" s="168" t="s">
        <v>838</v>
      </c>
      <c r="B281" s="168" t="s">
        <v>3058</v>
      </c>
      <c r="C281" s="1" t="s">
        <v>3059</v>
      </c>
      <c r="D281" s="13">
        <v>2364</v>
      </c>
      <c r="F281" s="168" t="s">
        <v>2718</v>
      </c>
      <c r="G281" s="1"/>
      <c r="I281" s="1"/>
    </row>
    <row r="282" spans="1:9">
      <c r="A282" s="168" t="s">
        <v>840</v>
      </c>
      <c r="B282" s="168" t="s">
        <v>3060</v>
      </c>
      <c r="C282" s="1" t="s">
        <v>3061</v>
      </c>
      <c r="D282" s="13">
        <v>7766</v>
      </c>
      <c r="F282" s="168" t="s">
        <v>2724</v>
      </c>
      <c r="G282" s="1"/>
      <c r="I282" s="1"/>
    </row>
    <row r="283" spans="1:9">
      <c r="A283" s="168" t="s">
        <v>841</v>
      </c>
      <c r="B283" s="168" t="s">
        <v>3062</v>
      </c>
      <c r="C283" s="1" t="s">
        <v>3063</v>
      </c>
      <c r="D283" s="13">
        <v>4623</v>
      </c>
      <c r="F283" s="168" t="s">
        <v>2718</v>
      </c>
      <c r="G283" s="1"/>
      <c r="I283" s="1"/>
    </row>
    <row r="284" spans="1:9">
      <c r="A284" s="168" t="s">
        <v>878</v>
      </c>
      <c r="B284" s="168" t="s">
        <v>3064</v>
      </c>
      <c r="C284" s="1" t="s">
        <v>3065</v>
      </c>
      <c r="D284" s="13">
        <v>4679</v>
      </c>
      <c r="F284" s="168" t="s">
        <v>2724</v>
      </c>
      <c r="G284" s="1"/>
      <c r="I284" s="1"/>
    </row>
    <row r="285" spans="1:9">
      <c r="A285" s="168" t="s">
        <v>879</v>
      </c>
      <c r="B285" s="168" t="s">
        <v>3066</v>
      </c>
      <c r="C285" s="1" t="s">
        <v>3067</v>
      </c>
      <c r="D285" s="13">
        <v>4548</v>
      </c>
      <c r="F285" s="168" t="s">
        <v>2724</v>
      </c>
      <c r="G285" s="1"/>
      <c r="I285" s="1"/>
    </row>
    <row r="286" spans="1:9">
      <c r="A286" s="168" t="s">
        <v>880</v>
      </c>
      <c r="B286" s="168" t="s">
        <v>3068</v>
      </c>
      <c r="C286" s="1" t="s">
        <v>3069</v>
      </c>
      <c r="D286" s="13">
        <v>4681</v>
      </c>
      <c r="F286" s="168" t="s">
        <v>2718</v>
      </c>
      <c r="G286" s="1"/>
      <c r="I286" s="1"/>
    </row>
    <row r="287" spans="1:9">
      <c r="D287" s="173"/>
    </row>
    <row r="288" spans="1:9">
      <c r="A288" s="168" t="s">
        <v>2875</v>
      </c>
      <c r="D288" s="173">
        <f>D273</f>
        <v>5048</v>
      </c>
    </row>
    <row r="289" spans="1:9">
      <c r="A289" s="168" t="s">
        <v>3022</v>
      </c>
      <c r="D289" s="171">
        <f>SUM(D265:D268)+D270+D272+SUM(D274:D281)+D283+D286</f>
        <v>61621</v>
      </c>
    </row>
    <row r="290" spans="1:9">
      <c r="A290" s="168" t="s">
        <v>2800</v>
      </c>
      <c r="D290" s="171">
        <f>D264+D269+D271+D282+D284+D285</f>
        <v>28889</v>
      </c>
    </row>
    <row r="292" spans="1:9">
      <c r="A292" s="168" t="s">
        <v>3070</v>
      </c>
    </row>
    <row r="293" spans="1:9">
      <c r="A293" s="168"/>
    </row>
    <row r="294" spans="1:9">
      <c r="A294" s="168"/>
    </row>
    <row r="295" spans="1:9">
      <c r="D295" s="10" t="s">
        <v>285</v>
      </c>
      <c r="E295" s="38"/>
      <c r="F295" s="38" t="s">
        <v>1842</v>
      </c>
    </row>
    <row r="296" spans="1:9">
      <c r="D296" s="39">
        <v>2016</v>
      </c>
      <c r="E296" s="38"/>
      <c r="F296" s="41" t="s">
        <v>286</v>
      </c>
    </row>
    <row r="297" spans="1:9">
      <c r="A297" s="168" t="s">
        <v>3071</v>
      </c>
      <c r="D297" s="171">
        <f t="shared" ref="D297" si="33">SUM(D298:D324)</f>
        <v>78211</v>
      </c>
      <c r="E297" s="171"/>
    </row>
    <row r="298" spans="1:9">
      <c r="A298" s="168" t="s">
        <v>812</v>
      </c>
      <c r="B298" s="168" t="s">
        <v>3072</v>
      </c>
      <c r="C298" s="1" t="s">
        <v>3073</v>
      </c>
      <c r="D298" s="7">
        <v>1151</v>
      </c>
      <c r="F298" s="168" t="s">
        <v>2719</v>
      </c>
      <c r="G298" s="1"/>
      <c r="I298" s="1"/>
    </row>
    <row r="299" spans="1:9">
      <c r="A299" s="168" t="s">
        <v>813</v>
      </c>
      <c r="B299" s="168" t="s">
        <v>3074</v>
      </c>
      <c r="C299" s="1" t="s">
        <v>3075</v>
      </c>
      <c r="D299" s="7">
        <v>1376</v>
      </c>
      <c r="F299" s="168" t="s">
        <v>2719</v>
      </c>
      <c r="G299" s="1"/>
      <c r="I299" s="1"/>
    </row>
    <row r="300" spans="1:9">
      <c r="A300" s="168" t="s">
        <v>814</v>
      </c>
      <c r="B300" s="168" t="s">
        <v>3076</v>
      </c>
      <c r="C300" s="1" t="s">
        <v>3077</v>
      </c>
      <c r="D300" s="7">
        <v>4516</v>
      </c>
      <c r="F300" s="168" t="s">
        <v>2719</v>
      </c>
      <c r="G300" s="1"/>
      <c r="I300" s="1"/>
    </row>
    <row r="301" spans="1:9">
      <c r="A301" s="168" t="s">
        <v>815</v>
      </c>
      <c r="B301" s="168" t="s">
        <v>3078</v>
      </c>
      <c r="C301" s="1" t="s">
        <v>3079</v>
      </c>
      <c r="D301" s="7">
        <v>1375</v>
      </c>
      <c r="F301" s="168" t="s">
        <v>2719</v>
      </c>
      <c r="G301" s="1"/>
      <c r="I301" s="1"/>
    </row>
    <row r="302" spans="1:9">
      <c r="A302" s="168" t="s">
        <v>816</v>
      </c>
      <c r="B302" s="168" t="s">
        <v>3080</v>
      </c>
      <c r="C302" s="1" t="s">
        <v>3081</v>
      </c>
      <c r="D302" s="7">
        <v>4391</v>
      </c>
      <c r="F302" s="168" t="s">
        <v>2719</v>
      </c>
      <c r="G302" s="1"/>
      <c r="I302" s="1"/>
    </row>
    <row r="303" spans="1:9">
      <c r="A303" s="168" t="s">
        <v>826</v>
      </c>
      <c r="B303" s="168" t="s">
        <v>3082</v>
      </c>
      <c r="C303" s="1" t="s">
        <v>3083</v>
      </c>
      <c r="D303" s="7">
        <v>1416</v>
      </c>
      <c r="F303" s="168" t="s">
        <v>2719</v>
      </c>
      <c r="G303" s="1"/>
      <c r="I303" s="1"/>
    </row>
    <row r="304" spans="1:9">
      <c r="A304" s="168" t="s">
        <v>827</v>
      </c>
      <c r="B304" s="168" t="s">
        <v>3084</v>
      </c>
      <c r="C304" s="1" t="s">
        <v>3085</v>
      </c>
      <c r="D304" s="7">
        <v>4271</v>
      </c>
      <c r="F304" s="168" t="s">
        <v>2719</v>
      </c>
      <c r="G304" s="1"/>
      <c r="I304" s="1"/>
    </row>
    <row r="305" spans="1:9">
      <c r="A305" s="168" t="s">
        <v>828</v>
      </c>
      <c r="B305" s="168" t="s">
        <v>3086</v>
      </c>
      <c r="C305" s="1" t="s">
        <v>3087</v>
      </c>
      <c r="D305" s="7">
        <v>4005</v>
      </c>
      <c r="F305" s="168" t="s">
        <v>2719</v>
      </c>
      <c r="G305" s="1"/>
      <c r="I305" s="1"/>
    </row>
    <row r="306" spans="1:9">
      <c r="A306" s="168" t="s">
        <v>829</v>
      </c>
      <c r="B306" s="168" t="s">
        <v>3088</v>
      </c>
      <c r="C306" s="1" t="s">
        <v>3089</v>
      </c>
      <c r="D306" s="7">
        <v>1412</v>
      </c>
      <c r="F306" s="168" t="s">
        <v>2719</v>
      </c>
      <c r="G306" s="1"/>
      <c r="I306" s="1"/>
    </row>
    <row r="307" spans="1:9">
      <c r="A307" s="168" t="s">
        <v>830</v>
      </c>
      <c r="B307" s="168" t="s">
        <v>3090</v>
      </c>
      <c r="C307" s="1" t="s">
        <v>3091</v>
      </c>
      <c r="D307" s="7">
        <v>2584</v>
      </c>
      <c r="F307" s="168" t="s">
        <v>2719</v>
      </c>
      <c r="G307" s="1"/>
      <c r="I307" s="1"/>
    </row>
    <row r="308" spans="1:9">
      <c r="A308" s="168" t="s">
        <v>831</v>
      </c>
      <c r="B308" s="168" t="s">
        <v>3092</v>
      </c>
      <c r="C308" s="1" t="s">
        <v>3093</v>
      </c>
      <c r="D308" s="8">
        <v>2771</v>
      </c>
      <c r="F308" s="168" t="s">
        <v>2719</v>
      </c>
      <c r="G308" s="1"/>
      <c r="I308" s="1"/>
    </row>
    <row r="309" spans="1:9">
      <c r="A309" s="168" t="s">
        <v>832</v>
      </c>
      <c r="B309" s="168" t="s">
        <v>3094</v>
      </c>
      <c r="C309" s="1" t="s">
        <v>3095</v>
      </c>
      <c r="D309" s="8">
        <v>2928</v>
      </c>
      <c r="F309" s="168" t="s">
        <v>2719</v>
      </c>
      <c r="G309" s="1"/>
      <c r="I309" s="1"/>
    </row>
    <row r="310" spans="1:9">
      <c r="A310" s="168" t="s">
        <v>833</v>
      </c>
      <c r="B310" s="168" t="s">
        <v>3096</v>
      </c>
      <c r="C310" s="1" t="s">
        <v>3097</v>
      </c>
      <c r="D310" s="8">
        <v>4060</v>
      </c>
      <c r="F310" s="168" t="s">
        <v>2719</v>
      </c>
      <c r="G310" s="1"/>
      <c r="I310" s="1"/>
    </row>
    <row r="311" spans="1:9">
      <c r="A311" s="168" t="s">
        <v>834</v>
      </c>
      <c r="B311" s="168" t="s">
        <v>3098</v>
      </c>
      <c r="C311" s="1" t="s">
        <v>3099</v>
      </c>
      <c r="D311" s="8">
        <v>4612</v>
      </c>
      <c r="F311" s="168" t="s">
        <v>2719</v>
      </c>
      <c r="G311" s="1"/>
      <c r="I311" s="1"/>
    </row>
    <row r="312" spans="1:9">
      <c r="A312" s="168" t="s">
        <v>835</v>
      </c>
      <c r="B312" s="168" t="s">
        <v>3100</v>
      </c>
      <c r="C312" s="1" t="s">
        <v>3101</v>
      </c>
      <c r="D312" s="7">
        <v>4358</v>
      </c>
      <c r="F312" s="168" t="s">
        <v>2719</v>
      </c>
      <c r="G312" s="1"/>
      <c r="I312" s="1"/>
    </row>
    <row r="313" spans="1:9">
      <c r="A313" s="168" t="s">
        <v>836</v>
      </c>
      <c r="B313" s="168" t="s">
        <v>2845</v>
      </c>
      <c r="C313" s="1" t="s">
        <v>3102</v>
      </c>
      <c r="D313" s="7">
        <v>2611</v>
      </c>
      <c r="F313" s="168" t="s">
        <v>2719</v>
      </c>
      <c r="G313" s="1"/>
      <c r="I313" s="1"/>
    </row>
    <row r="314" spans="1:9">
      <c r="A314" s="168" t="s">
        <v>837</v>
      </c>
      <c r="B314" s="168" t="s">
        <v>3103</v>
      </c>
      <c r="C314" s="1" t="s">
        <v>3104</v>
      </c>
      <c r="D314" s="7">
        <v>1275</v>
      </c>
      <c r="F314" s="168" t="s">
        <v>2719</v>
      </c>
      <c r="G314" s="1"/>
      <c r="I314" s="1"/>
    </row>
    <row r="315" spans="1:9">
      <c r="A315" s="168" t="s">
        <v>838</v>
      </c>
      <c r="B315" s="168" t="s">
        <v>3105</v>
      </c>
      <c r="C315" s="1" t="s">
        <v>3106</v>
      </c>
      <c r="D315" s="8">
        <v>4182</v>
      </c>
      <c r="F315" s="168" t="s">
        <v>2719</v>
      </c>
      <c r="G315" s="1"/>
      <c r="I315" s="1"/>
    </row>
    <row r="316" spans="1:9">
      <c r="A316" s="168" t="s">
        <v>840</v>
      </c>
      <c r="B316" s="168" t="s">
        <v>3107</v>
      </c>
      <c r="C316" s="1" t="s">
        <v>3108</v>
      </c>
      <c r="D316" s="7">
        <v>1485</v>
      </c>
      <c r="F316" s="168" t="s">
        <v>2719</v>
      </c>
      <c r="G316" s="1"/>
      <c r="I316" s="1"/>
    </row>
    <row r="317" spans="1:9">
      <c r="A317" s="168" t="s">
        <v>841</v>
      </c>
      <c r="B317" s="168" t="s">
        <v>3109</v>
      </c>
      <c r="C317" s="1" t="s">
        <v>3110</v>
      </c>
      <c r="D317" s="7">
        <v>1572</v>
      </c>
      <c r="F317" s="168" t="s">
        <v>2719</v>
      </c>
      <c r="G317" s="1"/>
      <c r="I317" s="1"/>
    </row>
    <row r="318" spans="1:9">
      <c r="A318" s="168" t="s">
        <v>878</v>
      </c>
      <c r="B318" s="168" t="s">
        <v>3111</v>
      </c>
      <c r="C318" s="1" t="s">
        <v>3112</v>
      </c>
      <c r="D318" s="8">
        <v>1540</v>
      </c>
      <c r="F318" s="168" t="s">
        <v>2719</v>
      </c>
      <c r="G318" s="1"/>
      <c r="I318" s="1"/>
    </row>
    <row r="319" spans="1:9">
      <c r="A319" s="168" t="s">
        <v>879</v>
      </c>
      <c r="B319" s="168" t="s">
        <v>3113</v>
      </c>
      <c r="C319" s="1" t="s">
        <v>3114</v>
      </c>
      <c r="D319" s="8">
        <v>3944</v>
      </c>
      <c r="F319" s="168" t="s">
        <v>2719</v>
      </c>
      <c r="G319" s="1"/>
      <c r="I319" s="1"/>
    </row>
    <row r="320" spans="1:9">
      <c r="A320" s="168" t="s">
        <v>880</v>
      </c>
      <c r="B320" s="168" t="s">
        <v>3115</v>
      </c>
      <c r="C320" s="1" t="s">
        <v>3116</v>
      </c>
      <c r="D320" s="8">
        <v>4110</v>
      </c>
      <c r="F320" s="168" t="s">
        <v>2719</v>
      </c>
      <c r="G320" s="1"/>
      <c r="I320" s="1"/>
    </row>
    <row r="321" spans="1:9">
      <c r="A321" s="168" t="s">
        <v>721</v>
      </c>
      <c r="B321" s="168" t="s">
        <v>3117</v>
      </c>
      <c r="C321" s="1" t="s">
        <v>3118</v>
      </c>
      <c r="D321" s="8">
        <v>4385</v>
      </c>
      <c r="F321" s="168" t="s">
        <v>2719</v>
      </c>
      <c r="G321" s="1"/>
      <c r="I321" s="1"/>
    </row>
    <row r="322" spans="1:9">
      <c r="A322" s="168" t="s">
        <v>722</v>
      </c>
      <c r="B322" s="168" t="s">
        <v>3119</v>
      </c>
      <c r="C322" s="1" t="s">
        <v>3120</v>
      </c>
      <c r="D322" s="8">
        <v>3752</v>
      </c>
      <c r="F322" s="168" t="s">
        <v>2719</v>
      </c>
      <c r="G322" s="1"/>
      <c r="I322" s="1"/>
    </row>
    <row r="323" spans="1:9">
      <c r="A323" s="168" t="s">
        <v>723</v>
      </c>
      <c r="B323" s="168" t="s">
        <v>3121</v>
      </c>
      <c r="C323" s="1" t="s">
        <v>3122</v>
      </c>
      <c r="D323" s="8">
        <v>1485</v>
      </c>
      <c r="F323" s="168" t="s">
        <v>2719</v>
      </c>
      <c r="G323" s="1"/>
      <c r="I323" s="1"/>
    </row>
    <row r="324" spans="1:9">
      <c r="A324" s="168" t="s">
        <v>733</v>
      </c>
      <c r="B324" s="168" t="s">
        <v>3123</v>
      </c>
      <c r="C324" s="1" t="s">
        <v>3124</v>
      </c>
      <c r="D324" s="8">
        <v>2644</v>
      </c>
      <c r="F324" s="168" t="s">
        <v>2719</v>
      </c>
      <c r="G324" s="1"/>
      <c r="I324" s="1"/>
    </row>
    <row r="325" spans="1:9">
      <c r="D325" s="173"/>
    </row>
    <row r="326" spans="1:9">
      <c r="A326" s="168" t="s">
        <v>2719</v>
      </c>
      <c r="D326" s="171">
        <f>SUM(D298:D324)</f>
        <v>78211</v>
      </c>
    </row>
    <row r="327" spans="1:9">
      <c r="A327" s="168"/>
      <c r="D327" s="171"/>
    </row>
    <row r="328" spans="1:9">
      <c r="A328" s="168" t="s">
        <v>3125</v>
      </c>
      <c r="D328" s="171"/>
    </row>
    <row r="329" spans="1:9">
      <c r="A329" s="168"/>
      <c r="B329" s="168"/>
      <c r="D329" s="177"/>
    </row>
    <row r="330" spans="1:9">
      <c r="A330" s="168"/>
      <c r="B330" s="168"/>
      <c r="D330" s="177"/>
    </row>
    <row r="331" spans="1:9">
      <c r="D331" s="10" t="s">
        <v>285</v>
      </c>
      <c r="E331" s="38"/>
      <c r="F331" s="38" t="s">
        <v>1842</v>
      </c>
    </row>
    <row r="332" spans="1:9">
      <c r="D332" s="39">
        <v>2016</v>
      </c>
      <c r="E332" s="38"/>
      <c r="F332" s="41" t="s">
        <v>286</v>
      </c>
    </row>
    <row r="333" spans="1:9">
      <c r="A333" s="168" t="s">
        <v>3126</v>
      </c>
      <c r="D333" s="171">
        <f t="shared" ref="D333" si="34">SUM(D334:D343)</f>
        <v>56689</v>
      </c>
    </row>
    <row r="334" spans="1:9">
      <c r="A334" s="168" t="s">
        <v>812</v>
      </c>
      <c r="B334" s="168" t="s">
        <v>3127</v>
      </c>
      <c r="C334" s="1" t="s">
        <v>3128</v>
      </c>
      <c r="D334" s="7">
        <v>5756</v>
      </c>
      <c r="F334" s="168" t="s">
        <v>2723</v>
      </c>
      <c r="G334" s="1"/>
      <c r="I334" s="1"/>
    </row>
    <row r="335" spans="1:9">
      <c r="A335" s="168" t="s">
        <v>813</v>
      </c>
      <c r="B335" s="168" t="s">
        <v>3129</v>
      </c>
      <c r="C335" s="1" t="s">
        <v>3130</v>
      </c>
      <c r="D335" s="7">
        <v>5666</v>
      </c>
      <c r="F335" s="168" t="s">
        <v>2723</v>
      </c>
      <c r="G335" s="1"/>
      <c r="I335" s="1"/>
    </row>
    <row r="336" spans="1:9">
      <c r="A336" s="168" t="s">
        <v>814</v>
      </c>
      <c r="B336" s="168" t="s">
        <v>3131</v>
      </c>
      <c r="C336" s="1" t="s">
        <v>3132</v>
      </c>
      <c r="D336" s="7">
        <v>5680</v>
      </c>
      <c r="F336" s="168" t="s">
        <v>2723</v>
      </c>
      <c r="G336" s="1"/>
      <c r="I336" s="1"/>
    </row>
    <row r="337" spans="1:9">
      <c r="A337" s="168" t="s">
        <v>815</v>
      </c>
      <c r="B337" s="168" t="s">
        <v>883</v>
      </c>
      <c r="C337" s="1" t="s">
        <v>3133</v>
      </c>
      <c r="D337" s="7">
        <v>5443</v>
      </c>
      <c r="F337" s="168" t="s">
        <v>2723</v>
      </c>
      <c r="G337" s="1"/>
      <c r="I337" s="1"/>
    </row>
    <row r="338" spans="1:9">
      <c r="A338" s="168" t="s">
        <v>816</v>
      </c>
      <c r="B338" s="168" t="s">
        <v>3134</v>
      </c>
      <c r="C338" s="1" t="s">
        <v>3135</v>
      </c>
      <c r="D338" s="7">
        <v>5519</v>
      </c>
      <c r="F338" s="168" t="s">
        <v>2723</v>
      </c>
      <c r="G338" s="1"/>
      <c r="I338" s="1"/>
    </row>
    <row r="339" spans="1:9">
      <c r="A339" s="168" t="s">
        <v>826</v>
      </c>
      <c r="B339" s="168" t="s">
        <v>3136</v>
      </c>
      <c r="C339" s="1" t="s">
        <v>3137</v>
      </c>
      <c r="D339" s="7">
        <v>5179</v>
      </c>
      <c r="F339" s="168" t="s">
        <v>2723</v>
      </c>
      <c r="G339" s="1"/>
      <c r="I339" s="1"/>
    </row>
    <row r="340" spans="1:9">
      <c r="A340" s="168" t="s">
        <v>827</v>
      </c>
      <c r="B340" s="168" t="s">
        <v>3138</v>
      </c>
      <c r="C340" s="1" t="s">
        <v>3139</v>
      </c>
      <c r="D340" s="7">
        <v>5372</v>
      </c>
      <c r="F340" s="168" t="s">
        <v>2723</v>
      </c>
      <c r="G340" s="1"/>
      <c r="I340" s="1"/>
    </row>
    <row r="341" spans="1:9">
      <c r="A341" s="168" t="s">
        <v>828</v>
      </c>
      <c r="B341" s="168" t="s">
        <v>3140</v>
      </c>
      <c r="C341" s="1" t="s">
        <v>3141</v>
      </c>
      <c r="D341" s="7">
        <v>5608</v>
      </c>
      <c r="F341" s="168" t="s">
        <v>2723</v>
      </c>
      <c r="G341" s="1"/>
      <c r="I341" s="1"/>
    </row>
    <row r="342" spans="1:9">
      <c r="A342" s="168" t="s">
        <v>829</v>
      </c>
      <c r="B342" s="168" t="s">
        <v>679</v>
      </c>
      <c r="C342" s="1" t="s">
        <v>3142</v>
      </c>
      <c r="D342" s="7">
        <v>5843</v>
      </c>
      <c r="F342" s="168" t="s">
        <v>2723</v>
      </c>
      <c r="G342" s="1"/>
      <c r="I342" s="1"/>
    </row>
    <row r="343" spans="1:9">
      <c r="A343" s="168" t="s">
        <v>830</v>
      </c>
      <c r="B343" s="168" t="s">
        <v>3143</v>
      </c>
      <c r="C343" s="1" t="s">
        <v>3144</v>
      </c>
      <c r="D343" s="7">
        <v>6623</v>
      </c>
      <c r="F343" s="168" t="s">
        <v>2723</v>
      </c>
      <c r="G343" s="1"/>
      <c r="I343" s="1"/>
    </row>
    <row r="344" spans="1:9">
      <c r="D344" s="173"/>
    </row>
    <row r="345" spans="1:9">
      <c r="A345" s="168" t="s">
        <v>2922</v>
      </c>
      <c r="D345" s="171">
        <f t="shared" ref="D345" si="35">SUM(D334:D343)</f>
        <v>56689</v>
      </c>
    </row>
    <row r="347" spans="1:9">
      <c r="A347" s="169" t="s">
        <v>3145</v>
      </c>
    </row>
  </sheetData>
  <printOptions gridLinesSet="0"/>
  <pageMargins left="0.78740157480314965" right="0" top="0.51181102362204722" bottom="0.51181102362204722" header="0.51181102362204722" footer="0.51181102362204722"/>
  <pageSetup paperSize="9" scale="68" orientation="portrait" r:id="rId1"/>
  <headerFooter alignWithMargins="0">
    <oddFooter>&amp;C&amp;"Times New Roman,Regular"&amp;8&amp;P of &amp;N</oddFooter>
  </headerFooter>
  <ignoredErrors>
    <ignoredError sqref="D3:D485" unlockedFormula="1"/>
  </ignoredError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80"/>
  <sheetViews>
    <sheetView showGridLines="0" zoomScaleNormal="100" workbookViewId="0"/>
  </sheetViews>
  <sheetFormatPr defaultColWidth="12.59765625" defaultRowHeight="14.5"/>
  <cols>
    <col min="1" max="1" width="4.8984375" style="389" customWidth="1"/>
    <col min="2" max="2" width="36.296875" style="389" customWidth="1"/>
    <col min="3" max="3" width="11.59765625" style="389" customWidth="1"/>
    <col min="4" max="4" width="10" style="389" customWidth="1"/>
    <col min="5" max="5" width="2.296875" style="389" customWidth="1"/>
    <col min="6" max="6" width="35.8984375" style="389" customWidth="1"/>
    <col min="7" max="16384" width="12.59765625" style="389"/>
  </cols>
  <sheetData>
    <row r="1" spans="1:6">
      <c r="A1" s="388" t="s">
        <v>1075</v>
      </c>
      <c r="D1" s="390">
        <v>2016</v>
      </c>
    </row>
    <row r="3" spans="1:6">
      <c r="A3" s="388" t="s">
        <v>6817</v>
      </c>
      <c r="D3" s="391">
        <f t="shared" ref="D3" si="0">SUM(D5:D11)</f>
        <v>526217</v>
      </c>
    </row>
    <row r="4" spans="1:6">
      <c r="D4" s="392"/>
    </row>
    <row r="5" spans="1:6">
      <c r="A5" s="388" t="s">
        <v>8791</v>
      </c>
      <c r="C5" s="388"/>
      <c r="D5" s="391">
        <f t="shared" ref="D5" si="1">D46</f>
        <v>68206</v>
      </c>
      <c r="F5" s="393"/>
    </row>
    <row r="6" spans="1:6">
      <c r="A6" s="388" t="s">
        <v>8792</v>
      </c>
      <c r="C6" s="388"/>
      <c r="D6" s="391">
        <f t="shared" ref="D6" si="2">D84</f>
        <v>36057</v>
      </c>
      <c r="F6" s="393"/>
    </row>
    <row r="7" spans="1:6">
      <c r="A7" s="388" t="s">
        <v>8793</v>
      </c>
      <c r="C7" s="388"/>
      <c r="D7" s="391">
        <f t="shared" ref="D7" si="3">D107</f>
        <v>87527</v>
      </c>
      <c r="F7" s="393"/>
    </row>
    <row r="8" spans="1:6">
      <c r="A8" s="388" t="s">
        <v>8794</v>
      </c>
      <c r="C8" s="388"/>
      <c r="D8" s="391">
        <f t="shared" ref="D8" si="4">D133</f>
        <v>76018</v>
      </c>
      <c r="F8" s="393"/>
    </row>
    <row r="9" spans="1:6">
      <c r="A9" s="388" t="s">
        <v>8795</v>
      </c>
      <c r="C9" s="388"/>
      <c r="D9" s="391">
        <f t="shared" ref="D9" si="5">D174</f>
        <v>76662</v>
      </c>
      <c r="F9" s="393"/>
    </row>
    <row r="10" spans="1:6">
      <c r="A10" s="388" t="s">
        <v>8796</v>
      </c>
      <c r="C10" s="388"/>
      <c r="D10" s="391">
        <f t="shared" ref="D10" si="6">D216</f>
        <v>93970</v>
      </c>
      <c r="F10" s="393"/>
    </row>
    <row r="11" spans="1:6">
      <c r="A11" s="388" t="s">
        <v>8797</v>
      </c>
      <c r="C11" s="388"/>
      <c r="D11" s="391">
        <f t="shared" ref="D11" si="7">D252</f>
        <v>87777</v>
      </c>
      <c r="F11" s="393"/>
    </row>
    <row r="13" spans="1:6">
      <c r="A13" s="388" t="s">
        <v>8798</v>
      </c>
      <c r="D13" s="391">
        <f t="shared" ref="D13" si="8">D165</f>
        <v>41157</v>
      </c>
      <c r="F13" s="388" t="s">
        <v>8799</v>
      </c>
    </row>
    <row r="14" spans="1:6" ht="15" thickBot="1">
      <c r="D14" s="394">
        <f t="shared" ref="D14" si="9">D207</f>
        <v>36671</v>
      </c>
      <c r="F14" s="388" t="s">
        <v>8800</v>
      </c>
    </row>
    <row r="15" spans="1:6" ht="15" thickBot="1">
      <c r="D15" s="394">
        <f t="shared" ref="D15" si="10">SUM(D13:D14)</f>
        <v>77828</v>
      </c>
    </row>
    <row r="16" spans="1:6">
      <c r="D16" s="392"/>
    </row>
    <row r="17" spans="1:6">
      <c r="A17" s="388" t="s">
        <v>8801</v>
      </c>
      <c r="D17" s="391">
        <f t="shared" ref="D17" si="11">D125</f>
        <v>16825</v>
      </c>
      <c r="F17" s="388" t="s">
        <v>8802</v>
      </c>
    </row>
    <row r="18" spans="1:6">
      <c r="D18" s="391">
        <f t="shared" ref="D18" si="12">D166</f>
        <v>29212</v>
      </c>
      <c r="F18" s="388" t="s">
        <v>8799</v>
      </c>
    </row>
    <row r="19" spans="1:6" ht="15" thickBot="1">
      <c r="D19" s="394">
        <f t="shared" ref="D19" si="13">D244</f>
        <v>28161</v>
      </c>
      <c r="E19" s="395"/>
      <c r="F19" s="388" t="s">
        <v>8803</v>
      </c>
    </row>
    <row r="20" spans="1:6" ht="15" thickBot="1">
      <c r="D20" s="394">
        <f t="shared" ref="D20" si="14">SUM(D17:D19)</f>
        <v>74198</v>
      </c>
    </row>
    <row r="21" spans="1:6">
      <c r="D21" s="392"/>
    </row>
    <row r="22" spans="1:6">
      <c r="A22" s="388" t="s">
        <v>8804</v>
      </c>
      <c r="D22" s="392">
        <f>D75</f>
        <v>3135</v>
      </c>
      <c r="F22" s="388" t="s">
        <v>8805</v>
      </c>
    </row>
    <row r="23" spans="1:6" ht="15" thickBot="1">
      <c r="D23" s="394">
        <f t="shared" ref="D23" si="15">D126</f>
        <v>70702</v>
      </c>
      <c r="F23" s="388" t="s">
        <v>8802</v>
      </c>
    </row>
    <row r="24" spans="1:6" ht="15" thickBot="1">
      <c r="D24" s="394">
        <f t="shared" ref="D24" si="16">D22+D23</f>
        <v>73837</v>
      </c>
      <c r="F24" s="388"/>
    </row>
    <row r="25" spans="1:6">
      <c r="D25" s="392"/>
    </row>
    <row r="26" spans="1:6">
      <c r="A26" s="388" t="s">
        <v>8806</v>
      </c>
      <c r="D26" s="391">
        <f t="shared" ref="D26" si="17">D76</f>
        <v>65071</v>
      </c>
      <c r="F26" s="388" t="s">
        <v>8805</v>
      </c>
    </row>
    <row r="27" spans="1:6">
      <c r="A27" s="388"/>
      <c r="D27" s="391">
        <f>D167</f>
        <v>5649</v>
      </c>
      <c r="F27" s="388" t="s">
        <v>8799</v>
      </c>
    </row>
    <row r="28" spans="1:6" ht="15" thickBot="1">
      <c r="D28" s="394">
        <f t="shared" ref="D28" si="18">D208</f>
        <v>3239</v>
      </c>
      <c r="F28" s="388" t="s">
        <v>8800</v>
      </c>
    </row>
    <row r="29" spans="1:6" ht="15" thickBot="1">
      <c r="D29" s="394">
        <f>SUM(D26:D28)</f>
        <v>73959</v>
      </c>
    </row>
    <row r="30" spans="1:6">
      <c r="D30" s="392"/>
    </row>
    <row r="31" spans="1:6">
      <c r="A31" s="388" t="s">
        <v>8807</v>
      </c>
      <c r="D31" s="391">
        <f t="shared" ref="D31" si="19">D245</f>
        <v>65809</v>
      </c>
      <c r="F31" s="388" t="s">
        <v>8803</v>
      </c>
    </row>
    <row r="32" spans="1:6" ht="15" thickBot="1">
      <c r="D32" s="394">
        <f t="shared" ref="D32" si="20">D277</f>
        <v>10369</v>
      </c>
      <c r="F32" s="388" t="s">
        <v>8808</v>
      </c>
    </row>
    <row r="33" spans="1:9" ht="15" thickBot="1">
      <c r="D33" s="394">
        <f t="shared" ref="D33" si="21">D31+D32</f>
        <v>76178</v>
      </c>
    </row>
    <row r="34" spans="1:9">
      <c r="D34" s="392"/>
    </row>
    <row r="35" spans="1:9">
      <c r="A35" s="388" t="s">
        <v>8809</v>
      </c>
      <c r="D35" s="391">
        <f t="shared" ref="D35" si="22">D278</f>
        <v>77408</v>
      </c>
      <c r="F35" s="388" t="s">
        <v>8808</v>
      </c>
    </row>
    <row r="36" spans="1:9">
      <c r="D36" s="392"/>
    </row>
    <row r="37" spans="1:9">
      <c r="A37" s="388" t="s">
        <v>8810</v>
      </c>
      <c r="D37" s="391">
        <f t="shared" ref="D37" si="23">D100</f>
        <v>36057</v>
      </c>
      <c r="F37" s="388" t="s">
        <v>6811</v>
      </c>
    </row>
    <row r="38" spans="1:9" ht="15" thickBot="1">
      <c r="D38" s="394">
        <f t="shared" ref="D38" si="24">D209</f>
        <v>36752</v>
      </c>
      <c r="F38" s="388" t="s">
        <v>8800</v>
      </c>
    </row>
    <row r="39" spans="1:9" ht="15" thickBot="1">
      <c r="D39" s="394">
        <f t="shared" ref="D39" si="25">D37+D38</f>
        <v>72809</v>
      </c>
    </row>
    <row r="40" spans="1:9">
      <c r="D40" s="392"/>
    </row>
    <row r="41" spans="1:9">
      <c r="A41" s="388" t="s">
        <v>1041</v>
      </c>
      <c r="D41" s="391">
        <f>D15+D20+D24+D29+D33+D35+D39</f>
        <v>526217</v>
      </c>
    </row>
    <row r="42" spans="1:9">
      <c r="D42" s="392"/>
    </row>
    <row r="43" spans="1:9">
      <c r="A43" s="388"/>
      <c r="D43" s="396"/>
    </row>
    <row r="44" spans="1:9">
      <c r="D44" s="10" t="s">
        <v>285</v>
      </c>
      <c r="E44" s="38"/>
      <c r="F44" s="5" t="s">
        <v>4116</v>
      </c>
    </row>
    <row r="45" spans="1:9">
      <c r="D45" s="39">
        <v>2016</v>
      </c>
      <c r="E45" s="38"/>
      <c r="F45" s="41" t="s">
        <v>286</v>
      </c>
    </row>
    <row r="46" spans="1:9">
      <c r="A46" s="388" t="s">
        <v>8811</v>
      </c>
      <c r="C46" s="388"/>
      <c r="D46" s="391">
        <f t="shared" ref="D46" si="26">SUM(D47:D73)</f>
        <v>68206</v>
      </c>
    </row>
    <row r="47" spans="1:9">
      <c r="A47" s="388" t="s">
        <v>812</v>
      </c>
      <c r="B47" s="388" t="s">
        <v>3072</v>
      </c>
      <c r="C47" s="1" t="s">
        <v>8812</v>
      </c>
      <c r="D47" s="7">
        <v>3125</v>
      </c>
      <c r="F47" s="388" t="s">
        <v>8806</v>
      </c>
      <c r="G47" s="1"/>
      <c r="I47" s="1"/>
    </row>
    <row r="48" spans="1:9">
      <c r="A48" s="388" t="s">
        <v>813</v>
      </c>
      <c r="B48" s="388" t="s">
        <v>8813</v>
      </c>
      <c r="C48" s="1" t="s">
        <v>8814</v>
      </c>
      <c r="D48" s="7">
        <v>3029</v>
      </c>
      <c r="F48" s="388" t="s">
        <v>8806</v>
      </c>
      <c r="G48" s="1"/>
      <c r="I48" s="1"/>
    </row>
    <row r="49" spans="1:9">
      <c r="A49" s="388" t="s">
        <v>814</v>
      </c>
      <c r="B49" s="388" t="s">
        <v>8815</v>
      </c>
      <c r="C49" s="1" t="s">
        <v>8816</v>
      </c>
      <c r="D49" s="7">
        <v>1739</v>
      </c>
      <c r="F49" s="388" t="s">
        <v>8806</v>
      </c>
      <c r="G49" s="1"/>
      <c r="I49" s="1"/>
    </row>
    <row r="50" spans="1:9">
      <c r="A50" s="388" t="s">
        <v>815</v>
      </c>
      <c r="B50" s="388" t="s">
        <v>8817</v>
      </c>
      <c r="C50" s="1" t="s">
        <v>8818</v>
      </c>
      <c r="D50" s="7">
        <v>1634</v>
      </c>
      <c r="F50" s="388" t="s">
        <v>8806</v>
      </c>
      <c r="G50" s="1"/>
      <c r="I50" s="1"/>
    </row>
    <row r="51" spans="1:9">
      <c r="A51" s="388" t="s">
        <v>816</v>
      </c>
      <c r="B51" s="388" t="s">
        <v>8819</v>
      </c>
      <c r="C51" s="1" t="s">
        <v>8820</v>
      </c>
      <c r="D51" s="7">
        <v>3230</v>
      </c>
      <c r="F51" s="388" t="s">
        <v>8806</v>
      </c>
      <c r="G51" s="1"/>
      <c r="I51" s="1"/>
    </row>
    <row r="52" spans="1:9">
      <c r="A52" s="388" t="s">
        <v>826</v>
      </c>
      <c r="B52" s="388" t="s">
        <v>8821</v>
      </c>
      <c r="C52" s="1" t="s">
        <v>8822</v>
      </c>
      <c r="D52" s="7">
        <v>1426</v>
      </c>
      <c r="F52" s="388" t="s">
        <v>8806</v>
      </c>
      <c r="G52" s="1"/>
      <c r="I52" s="1"/>
    </row>
    <row r="53" spans="1:9">
      <c r="A53" s="388" t="s">
        <v>827</v>
      </c>
      <c r="B53" s="388" t="s">
        <v>8823</v>
      </c>
      <c r="C53" s="1" t="s">
        <v>8824</v>
      </c>
      <c r="D53" s="7">
        <v>1657</v>
      </c>
      <c r="F53" s="388" t="s">
        <v>8806</v>
      </c>
      <c r="G53" s="1"/>
      <c r="I53" s="1"/>
    </row>
    <row r="54" spans="1:9">
      <c r="A54" s="388" t="s">
        <v>828</v>
      </c>
      <c r="B54" s="388" t="s">
        <v>8825</v>
      </c>
      <c r="C54" s="1" t="s">
        <v>8826</v>
      </c>
      <c r="D54" s="7">
        <v>2844</v>
      </c>
      <c r="F54" s="388" t="s">
        <v>8806</v>
      </c>
      <c r="G54" s="1"/>
      <c r="I54" s="1"/>
    </row>
    <row r="55" spans="1:9">
      <c r="A55" s="388" t="s">
        <v>829</v>
      </c>
      <c r="B55" s="388" t="s">
        <v>8827</v>
      </c>
      <c r="C55" s="1" t="s">
        <v>8828</v>
      </c>
      <c r="D55" s="7">
        <v>2983</v>
      </c>
      <c r="F55" s="388" t="s">
        <v>8806</v>
      </c>
      <c r="G55" s="1"/>
      <c r="I55" s="1"/>
    </row>
    <row r="56" spans="1:9">
      <c r="A56" s="388" t="s">
        <v>830</v>
      </c>
      <c r="B56" s="388" t="s">
        <v>8829</v>
      </c>
      <c r="C56" s="1" t="s">
        <v>8830</v>
      </c>
      <c r="D56" s="7">
        <v>3273</v>
      </c>
      <c r="F56" s="388" t="s">
        <v>8806</v>
      </c>
      <c r="G56" s="1"/>
      <c r="I56" s="1"/>
    </row>
    <row r="57" spans="1:9">
      <c r="A57" s="388" t="s">
        <v>831</v>
      </c>
      <c r="B57" s="388" t="s">
        <v>8831</v>
      </c>
      <c r="C57" s="1" t="s">
        <v>8832</v>
      </c>
      <c r="D57" s="7">
        <v>3428</v>
      </c>
      <c r="F57" s="388" t="s">
        <v>8806</v>
      </c>
      <c r="G57" s="1"/>
      <c r="I57" s="1"/>
    </row>
    <row r="58" spans="1:9">
      <c r="A58" s="388" t="s">
        <v>832</v>
      </c>
      <c r="B58" s="388" t="s">
        <v>8833</v>
      </c>
      <c r="C58" s="1" t="s">
        <v>8834</v>
      </c>
      <c r="D58" s="7">
        <v>3503</v>
      </c>
      <c r="F58" s="388" t="s">
        <v>8806</v>
      </c>
      <c r="G58" s="1"/>
      <c r="I58" s="1"/>
    </row>
    <row r="59" spans="1:9">
      <c r="A59" s="388" t="s">
        <v>833</v>
      </c>
      <c r="B59" s="388" t="s">
        <v>8835</v>
      </c>
      <c r="C59" s="1" t="s">
        <v>8836</v>
      </c>
      <c r="D59" s="7">
        <v>2910</v>
      </c>
      <c r="F59" s="388" t="s">
        <v>8806</v>
      </c>
      <c r="G59" s="1"/>
      <c r="I59" s="1"/>
    </row>
    <row r="60" spans="1:9">
      <c r="A60" s="388" t="s">
        <v>834</v>
      </c>
      <c r="B60" s="388" t="s">
        <v>3522</v>
      </c>
      <c r="C60" s="1" t="s">
        <v>8837</v>
      </c>
      <c r="D60" s="7">
        <v>1546</v>
      </c>
      <c r="F60" s="388" t="s">
        <v>8806</v>
      </c>
      <c r="G60" s="1"/>
      <c r="I60" s="1"/>
    </row>
    <row r="61" spans="1:9">
      <c r="A61" s="388" t="s">
        <v>835</v>
      </c>
      <c r="B61" s="388" t="s">
        <v>8838</v>
      </c>
      <c r="C61" s="1" t="s">
        <v>8839</v>
      </c>
      <c r="D61" s="7">
        <v>1406</v>
      </c>
      <c r="F61" s="388" t="s">
        <v>8806</v>
      </c>
      <c r="G61" s="1"/>
      <c r="I61" s="1"/>
    </row>
    <row r="62" spans="1:9">
      <c r="A62" s="388" t="s">
        <v>836</v>
      </c>
      <c r="B62" s="388" t="s">
        <v>8840</v>
      </c>
      <c r="C62" s="1" t="s">
        <v>8841</v>
      </c>
      <c r="D62" s="8">
        <v>1429</v>
      </c>
      <c r="F62" s="388" t="s">
        <v>8806</v>
      </c>
      <c r="G62" s="1"/>
      <c r="I62" s="1"/>
    </row>
    <row r="63" spans="1:9">
      <c r="A63" s="388" t="s">
        <v>837</v>
      </c>
      <c r="B63" s="388" t="s">
        <v>8842</v>
      </c>
      <c r="C63" s="1" t="s">
        <v>8843</v>
      </c>
      <c r="D63" s="8">
        <v>3001</v>
      </c>
      <c r="F63" s="388" t="s">
        <v>8806</v>
      </c>
      <c r="G63" s="1"/>
      <c r="I63" s="1"/>
    </row>
    <row r="64" spans="1:9">
      <c r="A64" s="388" t="s">
        <v>838</v>
      </c>
      <c r="B64" s="388" t="s">
        <v>8844</v>
      </c>
      <c r="C64" s="1" t="s">
        <v>8845</v>
      </c>
      <c r="D64" s="8">
        <v>1713</v>
      </c>
      <c r="F64" s="388" t="s">
        <v>8806</v>
      </c>
      <c r="G64" s="1"/>
      <c r="I64" s="1"/>
    </row>
    <row r="65" spans="1:9">
      <c r="A65" s="388" t="s">
        <v>840</v>
      </c>
      <c r="B65" s="388" t="s">
        <v>8846</v>
      </c>
      <c r="C65" s="1" t="s">
        <v>8847</v>
      </c>
      <c r="D65" s="8">
        <v>3234</v>
      </c>
      <c r="F65" s="388" t="s">
        <v>8806</v>
      </c>
      <c r="G65" s="1"/>
      <c r="I65" s="1"/>
    </row>
    <row r="66" spans="1:9">
      <c r="A66" s="388" t="s">
        <v>841</v>
      </c>
      <c r="B66" s="388" t="s">
        <v>8848</v>
      </c>
      <c r="C66" s="1" t="s">
        <v>8849</v>
      </c>
      <c r="D66" s="8">
        <v>1442</v>
      </c>
      <c r="F66" s="388" t="s">
        <v>8806</v>
      </c>
      <c r="G66" s="1"/>
      <c r="I66" s="1"/>
    </row>
    <row r="67" spans="1:9">
      <c r="A67" s="388" t="s">
        <v>878</v>
      </c>
      <c r="B67" s="388" t="s">
        <v>8850</v>
      </c>
      <c r="C67" s="1" t="s">
        <v>8851</v>
      </c>
      <c r="D67" s="8">
        <v>1785</v>
      </c>
      <c r="F67" s="388" t="s">
        <v>8806</v>
      </c>
      <c r="G67" s="1"/>
      <c r="I67" s="1"/>
    </row>
    <row r="68" spans="1:9">
      <c r="A68" s="388" t="s">
        <v>879</v>
      </c>
      <c r="B68" s="388" t="s">
        <v>8852</v>
      </c>
      <c r="C68" s="1" t="s">
        <v>8853</v>
      </c>
      <c r="D68" s="8">
        <v>3135</v>
      </c>
      <c r="F68" s="388" t="s">
        <v>8804</v>
      </c>
      <c r="G68" s="1"/>
      <c r="I68" s="1"/>
    </row>
    <row r="69" spans="1:9">
      <c r="A69" s="388" t="s">
        <v>880</v>
      </c>
      <c r="B69" s="388" t="s">
        <v>8854</v>
      </c>
      <c r="C69" s="1" t="s">
        <v>8855</v>
      </c>
      <c r="D69" s="8">
        <v>1756</v>
      </c>
      <c r="F69" s="388" t="s">
        <v>8806</v>
      </c>
      <c r="G69" s="1"/>
      <c r="I69" s="1"/>
    </row>
    <row r="70" spans="1:9">
      <c r="A70" s="388" t="s">
        <v>721</v>
      </c>
      <c r="B70" s="388" t="s">
        <v>8856</v>
      </c>
      <c r="C70" s="1" t="s">
        <v>8857</v>
      </c>
      <c r="D70" s="8">
        <v>3130</v>
      </c>
      <c r="F70" s="388" t="s">
        <v>8806</v>
      </c>
      <c r="G70" s="1"/>
      <c r="I70" s="1"/>
    </row>
    <row r="71" spans="1:9">
      <c r="A71" s="388" t="s">
        <v>722</v>
      </c>
      <c r="B71" s="388" t="s">
        <v>8858</v>
      </c>
      <c r="C71" s="1" t="s">
        <v>8859</v>
      </c>
      <c r="D71" s="8">
        <v>3312</v>
      </c>
      <c r="F71" s="388" t="s">
        <v>8806</v>
      </c>
      <c r="G71" s="1"/>
      <c r="I71" s="1"/>
    </row>
    <row r="72" spans="1:9">
      <c r="A72" s="388" t="s">
        <v>723</v>
      </c>
      <c r="B72" s="388" t="s">
        <v>8860</v>
      </c>
      <c r="C72" s="1" t="s">
        <v>8861</v>
      </c>
      <c r="D72" s="8">
        <v>3219</v>
      </c>
      <c r="F72" s="388" t="s">
        <v>8806</v>
      </c>
      <c r="G72" s="1"/>
      <c r="I72" s="1"/>
    </row>
    <row r="73" spans="1:9">
      <c r="A73" s="388" t="s">
        <v>733</v>
      </c>
      <c r="B73" s="388" t="s">
        <v>8862</v>
      </c>
      <c r="C73" s="1" t="s">
        <v>8863</v>
      </c>
      <c r="D73" s="8">
        <v>3317</v>
      </c>
      <c r="F73" s="388" t="s">
        <v>8806</v>
      </c>
      <c r="G73" s="1"/>
      <c r="I73" s="1"/>
    </row>
    <row r="74" spans="1:9">
      <c r="D74" s="392"/>
    </row>
    <row r="75" spans="1:9">
      <c r="A75" s="388" t="s">
        <v>8864</v>
      </c>
      <c r="D75" s="392">
        <f>D68</f>
        <v>3135</v>
      </c>
    </row>
    <row r="76" spans="1:9" ht="16.5" customHeight="1">
      <c r="A76" s="388" t="s">
        <v>8865</v>
      </c>
      <c r="D76" s="391">
        <f>SUM(D47:D67)+SUM(D69:D73)</f>
        <v>65071</v>
      </c>
    </row>
    <row r="77" spans="1:9" ht="16.5" customHeight="1">
      <c r="A77" s="388"/>
      <c r="D77" s="391"/>
    </row>
    <row r="78" spans="1:9" ht="16.5" customHeight="1">
      <c r="A78" s="388" t="s">
        <v>8866</v>
      </c>
      <c r="D78" s="391"/>
    </row>
    <row r="79" spans="1:9" ht="16.5" customHeight="1">
      <c r="A79" s="389" t="s">
        <v>8867</v>
      </c>
      <c r="D79" s="391"/>
    </row>
    <row r="80" spans="1:9" ht="16.5" customHeight="1">
      <c r="A80" s="388"/>
      <c r="B80" s="388"/>
      <c r="D80" s="397"/>
    </row>
    <row r="81" spans="1:9" ht="16.5" customHeight="1">
      <c r="A81" s="388"/>
      <c r="B81" s="388"/>
      <c r="D81" s="397"/>
    </row>
    <row r="82" spans="1:9" ht="16.5" customHeight="1">
      <c r="D82" s="10" t="s">
        <v>285</v>
      </c>
      <c r="E82" s="38"/>
      <c r="F82" s="5" t="s">
        <v>4116</v>
      </c>
    </row>
    <row r="83" spans="1:9">
      <c r="D83" s="39">
        <v>2016</v>
      </c>
      <c r="E83" s="38"/>
      <c r="F83" s="41" t="s">
        <v>286</v>
      </c>
    </row>
    <row r="84" spans="1:9">
      <c r="A84" s="388" t="s">
        <v>8868</v>
      </c>
      <c r="D84" s="391">
        <f t="shared" ref="D84" si="27">SUM(D85:D98)</f>
        <v>36057</v>
      </c>
    </row>
    <row r="85" spans="1:9">
      <c r="A85" s="388" t="s">
        <v>812</v>
      </c>
      <c r="B85" s="388" t="s">
        <v>601</v>
      </c>
      <c r="C85" s="1" t="s">
        <v>8869</v>
      </c>
      <c r="D85" s="7">
        <v>2398</v>
      </c>
      <c r="F85" s="388" t="s">
        <v>8810</v>
      </c>
      <c r="G85" s="1"/>
      <c r="I85" s="1"/>
    </row>
    <row r="86" spans="1:9">
      <c r="A86" s="388" t="s">
        <v>813</v>
      </c>
      <c r="B86" s="388" t="s">
        <v>8870</v>
      </c>
      <c r="C86" s="1" t="s">
        <v>8871</v>
      </c>
      <c r="D86" s="7">
        <v>3701</v>
      </c>
      <c r="F86" s="388" t="s">
        <v>8810</v>
      </c>
      <c r="G86" s="1"/>
      <c r="I86" s="1"/>
    </row>
    <row r="87" spans="1:9">
      <c r="A87" s="388" t="s">
        <v>814</v>
      </c>
      <c r="B87" s="388" t="s">
        <v>8872</v>
      </c>
      <c r="C87" s="1" t="s">
        <v>8873</v>
      </c>
      <c r="D87" s="7">
        <v>2475</v>
      </c>
      <c r="F87" s="388" t="s">
        <v>8810</v>
      </c>
      <c r="G87" s="1"/>
      <c r="I87" s="1"/>
    </row>
    <row r="88" spans="1:9">
      <c r="A88" s="388" t="s">
        <v>815</v>
      </c>
      <c r="B88" s="388" t="s">
        <v>8874</v>
      </c>
      <c r="C88" s="1" t="s">
        <v>8875</v>
      </c>
      <c r="D88" s="7">
        <v>3173</v>
      </c>
      <c r="F88" s="388" t="s">
        <v>8810</v>
      </c>
      <c r="G88" s="1"/>
      <c r="I88" s="1"/>
    </row>
    <row r="89" spans="1:9">
      <c r="A89" s="388" t="s">
        <v>816</v>
      </c>
      <c r="B89" s="388" t="s">
        <v>8876</v>
      </c>
      <c r="C89" s="1" t="s">
        <v>8877</v>
      </c>
      <c r="D89" s="7">
        <v>1430</v>
      </c>
      <c r="F89" s="388" t="s">
        <v>8810</v>
      </c>
      <c r="G89" s="1"/>
      <c r="I89" s="1"/>
    </row>
    <row r="90" spans="1:9">
      <c r="A90" s="388" t="s">
        <v>826</v>
      </c>
      <c r="B90" s="388" t="s">
        <v>8878</v>
      </c>
      <c r="C90" s="1" t="s">
        <v>8879</v>
      </c>
      <c r="D90" s="7">
        <v>2595</v>
      </c>
      <c r="F90" s="388" t="s">
        <v>8810</v>
      </c>
      <c r="G90" s="1"/>
      <c r="I90" s="1"/>
    </row>
    <row r="91" spans="1:9">
      <c r="A91" s="388" t="s">
        <v>827</v>
      </c>
      <c r="B91" s="388" t="s">
        <v>8880</v>
      </c>
      <c r="C91" s="1" t="s">
        <v>8881</v>
      </c>
      <c r="D91" s="7">
        <v>1297</v>
      </c>
      <c r="F91" s="388" t="s">
        <v>8810</v>
      </c>
      <c r="G91" s="1"/>
      <c r="I91" s="1"/>
    </row>
    <row r="92" spans="1:9">
      <c r="A92" s="388" t="s">
        <v>828</v>
      </c>
      <c r="B92" s="388" t="s">
        <v>8882</v>
      </c>
      <c r="C92" s="1" t="s">
        <v>8883</v>
      </c>
      <c r="D92" s="7">
        <v>3066</v>
      </c>
      <c r="F92" s="388" t="s">
        <v>8810</v>
      </c>
      <c r="G92" s="1"/>
      <c r="I92" s="1"/>
    </row>
    <row r="93" spans="1:9">
      <c r="A93" s="388" t="s">
        <v>829</v>
      </c>
      <c r="B93" s="388" t="s">
        <v>3050</v>
      </c>
      <c r="C93" s="1" t="s">
        <v>8884</v>
      </c>
      <c r="D93" s="7">
        <v>1267</v>
      </c>
      <c r="F93" s="388" t="s">
        <v>8810</v>
      </c>
      <c r="G93" s="1"/>
      <c r="I93" s="1"/>
    </row>
    <row r="94" spans="1:9">
      <c r="A94" s="388" t="s">
        <v>830</v>
      </c>
      <c r="B94" s="388" t="s">
        <v>7077</v>
      </c>
      <c r="C94" s="1" t="s">
        <v>8885</v>
      </c>
      <c r="D94" s="7">
        <v>2632</v>
      </c>
      <c r="F94" s="388" t="s">
        <v>8810</v>
      </c>
      <c r="G94" s="1"/>
      <c r="I94" s="1"/>
    </row>
    <row r="95" spans="1:9">
      <c r="A95" s="388" t="s">
        <v>831</v>
      </c>
      <c r="B95" s="388" t="s">
        <v>8886</v>
      </c>
      <c r="C95" s="1" t="s">
        <v>8887</v>
      </c>
      <c r="D95" s="7">
        <v>2761</v>
      </c>
      <c r="F95" s="388" t="s">
        <v>8810</v>
      </c>
      <c r="G95" s="1"/>
      <c r="I95" s="1"/>
    </row>
    <row r="96" spans="1:9">
      <c r="A96" s="388" t="s">
        <v>832</v>
      </c>
      <c r="B96" s="388" t="s">
        <v>5043</v>
      </c>
      <c r="C96" s="1" t="s">
        <v>8888</v>
      </c>
      <c r="D96" s="7">
        <v>3680</v>
      </c>
      <c r="F96" s="388" t="s">
        <v>8810</v>
      </c>
      <c r="G96" s="1"/>
      <c r="I96" s="1"/>
    </row>
    <row r="97" spans="1:9">
      <c r="A97" s="388" t="s">
        <v>833</v>
      </c>
      <c r="B97" s="388" t="s">
        <v>8889</v>
      </c>
      <c r="C97" s="1" t="s">
        <v>8890</v>
      </c>
      <c r="D97" s="7">
        <v>4219</v>
      </c>
      <c r="F97" s="388" t="s">
        <v>8810</v>
      </c>
      <c r="G97" s="1"/>
      <c r="I97" s="1"/>
    </row>
    <row r="98" spans="1:9">
      <c r="A98" s="388" t="s">
        <v>834</v>
      </c>
      <c r="B98" s="388" t="s">
        <v>6984</v>
      </c>
      <c r="C98" s="1" t="s">
        <v>8891</v>
      </c>
      <c r="D98" s="7">
        <v>1363</v>
      </c>
      <c r="F98" s="388" t="s">
        <v>8810</v>
      </c>
      <c r="G98" s="1"/>
      <c r="I98" s="1"/>
    </row>
    <row r="99" spans="1:9">
      <c r="D99" s="392"/>
    </row>
    <row r="100" spans="1:9" ht="15.75" customHeight="1">
      <c r="A100" s="388" t="s">
        <v>8892</v>
      </c>
      <c r="D100" s="391">
        <f t="shared" ref="D100" si="28">SUM(D85:D98)</f>
        <v>36057</v>
      </c>
      <c r="E100" s="397"/>
    </row>
    <row r="101" spans="1:9" ht="15.75" customHeight="1">
      <c r="A101" s="388"/>
      <c r="D101" s="391"/>
      <c r="E101" s="397"/>
    </row>
    <row r="102" spans="1:9" ht="15.75" customHeight="1">
      <c r="A102" s="388" t="s">
        <v>8893</v>
      </c>
      <c r="D102" s="391"/>
      <c r="E102" s="397"/>
    </row>
    <row r="103" spans="1:9" ht="15.75" customHeight="1">
      <c r="B103" s="388"/>
      <c r="D103" s="397"/>
      <c r="E103" s="397"/>
    </row>
    <row r="104" spans="1:9" ht="15.75" customHeight="1">
      <c r="A104" s="388"/>
      <c r="B104" s="388"/>
      <c r="D104" s="397"/>
      <c r="E104" s="397"/>
    </row>
    <row r="105" spans="1:9" ht="15.75" customHeight="1">
      <c r="D105" s="10" t="s">
        <v>285</v>
      </c>
      <c r="E105" s="38"/>
      <c r="F105" s="5" t="s">
        <v>4116</v>
      </c>
    </row>
    <row r="106" spans="1:9">
      <c r="D106" s="39">
        <v>2016</v>
      </c>
      <c r="E106" s="38"/>
      <c r="F106" s="41" t="s">
        <v>286</v>
      </c>
    </row>
    <row r="107" spans="1:9">
      <c r="A107" s="388" t="s">
        <v>8894</v>
      </c>
      <c r="D107" s="391">
        <f t="shared" ref="D107" si="29">SUM(D108:D123)</f>
        <v>87527</v>
      </c>
      <c r="E107" s="397"/>
    </row>
    <row r="108" spans="1:9">
      <c r="A108" s="388" t="s">
        <v>812</v>
      </c>
      <c r="B108" s="388" t="s">
        <v>8895</v>
      </c>
      <c r="C108" s="1" t="s">
        <v>8896</v>
      </c>
      <c r="D108" s="7">
        <v>5618</v>
      </c>
      <c r="F108" s="388" t="s">
        <v>8804</v>
      </c>
      <c r="G108" s="19"/>
      <c r="I108" s="1"/>
    </row>
    <row r="109" spans="1:9">
      <c r="A109" s="388" t="s">
        <v>813</v>
      </c>
      <c r="B109" s="388" t="s">
        <v>8897</v>
      </c>
      <c r="C109" s="1" t="s">
        <v>8898</v>
      </c>
      <c r="D109" s="7">
        <v>5434</v>
      </c>
      <c r="F109" s="388" t="s">
        <v>8804</v>
      </c>
      <c r="G109" s="19"/>
      <c r="I109" s="1"/>
    </row>
    <row r="110" spans="1:9">
      <c r="A110" s="388" t="s">
        <v>814</v>
      </c>
      <c r="B110" s="388" t="s">
        <v>5628</v>
      </c>
      <c r="C110" s="1" t="s">
        <v>8899</v>
      </c>
      <c r="D110" s="7">
        <v>5223</v>
      </c>
      <c r="F110" s="388" t="s">
        <v>8804</v>
      </c>
      <c r="G110" s="19"/>
      <c r="I110" s="1"/>
    </row>
    <row r="111" spans="1:9">
      <c r="A111" s="388" t="s">
        <v>815</v>
      </c>
      <c r="B111" s="388" t="s">
        <v>8900</v>
      </c>
      <c r="C111" s="1" t="s">
        <v>8901</v>
      </c>
      <c r="D111" s="7">
        <v>5582</v>
      </c>
      <c r="F111" s="388" t="s">
        <v>8801</v>
      </c>
      <c r="G111" s="19"/>
      <c r="I111" s="1"/>
    </row>
    <row r="112" spans="1:9">
      <c r="A112" s="388" t="s">
        <v>816</v>
      </c>
      <c r="B112" s="388" t="s">
        <v>8902</v>
      </c>
      <c r="C112" s="1" t="s">
        <v>8903</v>
      </c>
      <c r="D112" s="7">
        <v>5747</v>
      </c>
      <c r="F112" s="388" t="s">
        <v>8804</v>
      </c>
      <c r="G112" s="19"/>
      <c r="I112" s="1"/>
    </row>
    <row r="113" spans="1:9">
      <c r="A113" s="388" t="s">
        <v>826</v>
      </c>
      <c r="B113" s="388" t="s">
        <v>8904</v>
      </c>
      <c r="C113" s="1" t="s">
        <v>8905</v>
      </c>
      <c r="D113" s="7">
        <v>5191</v>
      </c>
      <c r="F113" s="388" t="s">
        <v>8804</v>
      </c>
      <c r="G113" s="19"/>
      <c r="I113" s="1"/>
    </row>
    <row r="114" spans="1:9">
      <c r="A114" s="388" t="s">
        <v>827</v>
      </c>
      <c r="B114" s="388" t="s">
        <v>8906</v>
      </c>
      <c r="C114" s="1" t="s">
        <v>8907</v>
      </c>
      <c r="D114" s="7">
        <v>5040</v>
      </c>
      <c r="F114" s="388" t="s">
        <v>8804</v>
      </c>
      <c r="G114" s="19"/>
      <c r="I114" s="1"/>
    </row>
    <row r="115" spans="1:9">
      <c r="A115" s="388" t="s">
        <v>828</v>
      </c>
      <c r="B115" s="388" t="s">
        <v>8908</v>
      </c>
      <c r="C115" s="1" t="s">
        <v>8909</v>
      </c>
      <c r="D115" s="7">
        <v>5796</v>
      </c>
      <c r="F115" s="388" t="s">
        <v>8804</v>
      </c>
      <c r="G115" s="19"/>
      <c r="I115" s="1"/>
    </row>
    <row r="116" spans="1:9">
      <c r="A116" s="388" t="s">
        <v>829</v>
      </c>
      <c r="B116" s="388" t="s">
        <v>8910</v>
      </c>
      <c r="C116" s="1" t="s">
        <v>8911</v>
      </c>
      <c r="D116" s="7">
        <v>5862</v>
      </c>
      <c r="F116" s="388" t="s">
        <v>8804</v>
      </c>
      <c r="G116" s="19"/>
      <c r="I116" s="1"/>
    </row>
    <row r="117" spans="1:9">
      <c r="A117" s="388" t="s">
        <v>830</v>
      </c>
      <c r="B117" s="388" t="s">
        <v>2912</v>
      </c>
      <c r="C117" s="1" t="s">
        <v>8912</v>
      </c>
      <c r="D117" s="7">
        <v>6054</v>
      </c>
      <c r="F117" s="388" t="s">
        <v>8804</v>
      </c>
      <c r="G117" s="19"/>
      <c r="I117" s="1"/>
    </row>
    <row r="118" spans="1:9">
      <c r="A118" s="388" t="s">
        <v>831</v>
      </c>
      <c r="B118" s="388" t="s">
        <v>5041</v>
      </c>
      <c r="C118" s="1" t="s">
        <v>8913</v>
      </c>
      <c r="D118" s="7">
        <v>5912</v>
      </c>
      <c r="F118" s="388" t="s">
        <v>8804</v>
      </c>
      <c r="G118" s="19"/>
      <c r="I118" s="1"/>
    </row>
    <row r="119" spans="1:9">
      <c r="A119" s="388" t="s">
        <v>832</v>
      </c>
      <c r="B119" s="388" t="s">
        <v>8914</v>
      </c>
      <c r="C119" s="1" t="s">
        <v>8915</v>
      </c>
      <c r="D119" s="7">
        <v>5003</v>
      </c>
      <c r="F119" s="388" t="s">
        <v>8804</v>
      </c>
      <c r="G119" s="1"/>
      <c r="I119" s="1"/>
    </row>
    <row r="120" spans="1:9">
      <c r="A120" s="388" t="s">
        <v>833</v>
      </c>
      <c r="B120" s="388" t="s">
        <v>8916</v>
      </c>
      <c r="C120" s="1" t="s">
        <v>8917</v>
      </c>
      <c r="D120" s="7">
        <v>4910</v>
      </c>
      <c r="F120" s="388" t="s">
        <v>8804</v>
      </c>
      <c r="G120" s="19"/>
      <c r="I120" s="1"/>
    </row>
    <row r="121" spans="1:9">
      <c r="A121" s="388" t="s">
        <v>834</v>
      </c>
      <c r="B121" s="388" t="s">
        <v>543</v>
      </c>
      <c r="C121" s="1" t="s">
        <v>8918</v>
      </c>
      <c r="D121" s="8">
        <v>4912</v>
      </c>
      <c r="F121" s="388" t="s">
        <v>8804</v>
      </c>
      <c r="G121" s="20"/>
      <c r="I121" s="1"/>
    </row>
    <row r="122" spans="1:9">
      <c r="A122" s="388" t="s">
        <v>835</v>
      </c>
      <c r="B122" s="388" t="s">
        <v>7851</v>
      </c>
      <c r="C122" s="1" t="s">
        <v>8919</v>
      </c>
      <c r="D122" s="7">
        <v>5655</v>
      </c>
      <c r="F122" s="388" t="s">
        <v>8801</v>
      </c>
      <c r="G122" s="19"/>
      <c r="I122" s="1"/>
    </row>
    <row r="123" spans="1:9">
      <c r="A123" s="388" t="s">
        <v>836</v>
      </c>
      <c r="B123" s="388" t="s">
        <v>8920</v>
      </c>
      <c r="C123" s="1" t="s">
        <v>8921</v>
      </c>
      <c r="D123" s="7">
        <v>5588</v>
      </c>
      <c r="F123" s="388" t="s">
        <v>8801</v>
      </c>
      <c r="G123" s="19"/>
      <c r="I123" s="1"/>
    </row>
    <row r="124" spans="1:9">
      <c r="D124" s="392"/>
    </row>
    <row r="125" spans="1:9">
      <c r="A125" s="388" t="s">
        <v>8922</v>
      </c>
      <c r="D125" s="391">
        <f t="shared" ref="D125" si="30">D111+D122+D123</f>
        <v>16825</v>
      </c>
    </row>
    <row r="126" spans="1:9">
      <c r="A126" s="388" t="s">
        <v>8804</v>
      </c>
      <c r="D126" s="391">
        <f t="shared" ref="D126" si="31">SUM(D108:D110)+D112+D113+SUM(D114:D121)</f>
        <v>70702</v>
      </c>
    </row>
    <row r="127" spans="1:9">
      <c r="A127" s="388"/>
      <c r="D127" s="391"/>
    </row>
    <row r="128" spans="1:9">
      <c r="A128" s="388" t="s">
        <v>8923</v>
      </c>
      <c r="D128" s="391"/>
    </row>
    <row r="129" spans="1:9">
      <c r="A129" s="388"/>
      <c r="B129" s="388"/>
      <c r="D129" s="397"/>
    </row>
    <row r="130" spans="1:9">
      <c r="A130" s="388"/>
      <c r="B130" s="388"/>
      <c r="D130" s="397"/>
    </row>
    <row r="131" spans="1:9">
      <c r="D131" s="10" t="s">
        <v>285</v>
      </c>
      <c r="E131" s="38"/>
      <c r="F131" s="5" t="s">
        <v>4116</v>
      </c>
    </row>
    <row r="132" spans="1:9">
      <c r="D132" s="39">
        <v>2016</v>
      </c>
      <c r="E132" s="38"/>
      <c r="F132" s="41" t="s">
        <v>286</v>
      </c>
    </row>
    <row r="133" spans="1:9">
      <c r="A133" s="388" t="s">
        <v>8924</v>
      </c>
      <c r="D133" s="391">
        <f>SUM(D134:D157)+SUM(D158:D163)</f>
        <v>76018</v>
      </c>
    </row>
    <row r="134" spans="1:9">
      <c r="A134" s="388" t="s">
        <v>812</v>
      </c>
      <c r="B134" s="388" t="s">
        <v>8925</v>
      </c>
      <c r="C134" s="1" t="s">
        <v>8926</v>
      </c>
      <c r="D134" s="7">
        <v>1925</v>
      </c>
      <c r="F134" s="388" t="s">
        <v>8798</v>
      </c>
      <c r="G134" s="19"/>
      <c r="I134" s="1"/>
    </row>
    <row r="135" spans="1:9">
      <c r="A135" s="388" t="s">
        <v>813</v>
      </c>
      <c r="B135" s="388" t="s">
        <v>8927</v>
      </c>
      <c r="C135" s="1" t="s">
        <v>8928</v>
      </c>
      <c r="D135" s="7">
        <v>2140</v>
      </c>
      <c r="F135" s="388" t="s">
        <v>8798</v>
      </c>
      <c r="G135" s="19"/>
      <c r="I135" s="1"/>
    </row>
    <row r="136" spans="1:9">
      <c r="A136" s="388" t="s">
        <v>814</v>
      </c>
      <c r="B136" s="388" t="s">
        <v>8929</v>
      </c>
      <c r="C136" s="1" t="s">
        <v>8930</v>
      </c>
      <c r="D136" s="8">
        <v>1785</v>
      </c>
      <c r="F136" s="388" t="s">
        <v>8801</v>
      </c>
      <c r="G136" s="20"/>
      <c r="I136" s="1"/>
    </row>
    <row r="137" spans="1:9">
      <c r="A137" s="388" t="s">
        <v>815</v>
      </c>
      <c r="B137" s="388" t="s">
        <v>8931</v>
      </c>
      <c r="C137" s="1" t="s">
        <v>8932</v>
      </c>
      <c r="D137" s="8">
        <v>3406</v>
      </c>
      <c r="F137" s="388" t="s">
        <v>8801</v>
      </c>
      <c r="G137" s="20"/>
      <c r="I137" s="1"/>
    </row>
    <row r="138" spans="1:9">
      <c r="A138" s="388" t="s">
        <v>816</v>
      </c>
      <c r="B138" s="388" t="s">
        <v>8933</v>
      </c>
      <c r="C138" s="1" t="s">
        <v>8934</v>
      </c>
      <c r="D138" s="8">
        <v>3604</v>
      </c>
      <c r="F138" s="388" t="s">
        <v>8801</v>
      </c>
      <c r="G138" s="20"/>
      <c r="I138" s="1"/>
    </row>
    <row r="139" spans="1:9">
      <c r="A139" s="388" t="s">
        <v>826</v>
      </c>
      <c r="B139" s="388" t="s">
        <v>8935</v>
      </c>
      <c r="C139" s="1" t="s">
        <v>8936</v>
      </c>
      <c r="D139" s="8">
        <v>1866</v>
      </c>
      <c r="F139" s="388" t="s">
        <v>8801</v>
      </c>
      <c r="G139" s="20"/>
      <c r="I139" s="1"/>
    </row>
    <row r="140" spans="1:9">
      <c r="A140" s="388" t="s">
        <v>827</v>
      </c>
      <c r="B140" s="388" t="s">
        <v>8937</v>
      </c>
      <c r="C140" s="1" t="s">
        <v>8938</v>
      </c>
      <c r="D140" s="7">
        <v>4195</v>
      </c>
      <c r="F140" s="388" t="s">
        <v>8798</v>
      </c>
      <c r="G140" s="19"/>
      <c r="I140" s="1"/>
    </row>
    <row r="141" spans="1:9">
      <c r="A141" s="388" t="s">
        <v>828</v>
      </c>
      <c r="B141" s="388" t="s">
        <v>8939</v>
      </c>
      <c r="C141" s="1" t="s">
        <v>8940</v>
      </c>
      <c r="D141" s="8">
        <v>1701</v>
      </c>
      <c r="F141" s="388" t="s">
        <v>8801</v>
      </c>
      <c r="G141" s="20"/>
      <c r="I141" s="1"/>
    </row>
    <row r="142" spans="1:9">
      <c r="A142" s="388" t="s">
        <v>829</v>
      </c>
      <c r="B142" s="388" t="s">
        <v>8941</v>
      </c>
      <c r="C142" s="1" t="s">
        <v>8942</v>
      </c>
      <c r="D142" s="8">
        <v>1931</v>
      </c>
      <c r="F142" s="388" t="s">
        <v>8801</v>
      </c>
      <c r="G142" s="20"/>
      <c r="I142" s="1"/>
    </row>
    <row r="143" spans="1:9">
      <c r="A143" s="388" t="s">
        <v>830</v>
      </c>
      <c r="B143" s="388" t="s">
        <v>8943</v>
      </c>
      <c r="C143" s="1" t="s">
        <v>8944</v>
      </c>
      <c r="D143" s="7">
        <v>2183</v>
      </c>
      <c r="F143" s="388" t="s">
        <v>8798</v>
      </c>
      <c r="G143" s="19"/>
      <c r="I143" s="1"/>
    </row>
    <row r="144" spans="1:9">
      <c r="A144" s="388" t="s">
        <v>831</v>
      </c>
      <c r="B144" s="388" t="s">
        <v>8945</v>
      </c>
      <c r="C144" s="1" t="s">
        <v>8946</v>
      </c>
      <c r="D144" s="7">
        <v>1746</v>
      </c>
      <c r="F144" s="388" t="s">
        <v>8798</v>
      </c>
      <c r="G144" s="19"/>
      <c r="I144" s="1"/>
    </row>
    <row r="145" spans="1:9">
      <c r="A145" s="388" t="s">
        <v>832</v>
      </c>
      <c r="B145" s="388" t="s">
        <v>8947</v>
      </c>
      <c r="C145" s="1" t="s">
        <v>8948</v>
      </c>
      <c r="D145" s="8">
        <v>1799</v>
      </c>
      <c r="F145" s="388" t="s">
        <v>8801</v>
      </c>
      <c r="G145" s="20"/>
      <c r="I145" s="1"/>
    </row>
    <row r="146" spans="1:9">
      <c r="A146" s="388" t="s">
        <v>833</v>
      </c>
      <c r="B146" s="388" t="s">
        <v>8949</v>
      </c>
      <c r="C146" s="1" t="s">
        <v>8950</v>
      </c>
      <c r="D146" s="8">
        <v>1670</v>
      </c>
      <c r="F146" s="388" t="s">
        <v>8801</v>
      </c>
      <c r="G146" s="20"/>
      <c r="I146" s="1"/>
    </row>
    <row r="147" spans="1:9">
      <c r="A147" s="388" t="s">
        <v>834</v>
      </c>
      <c r="B147" s="388" t="s">
        <v>8951</v>
      </c>
      <c r="C147" s="1" t="s">
        <v>8952</v>
      </c>
      <c r="D147" s="8">
        <v>1802</v>
      </c>
      <c r="F147" s="388" t="s">
        <v>8801</v>
      </c>
      <c r="G147" s="20"/>
      <c r="I147" s="1"/>
    </row>
    <row r="148" spans="1:9">
      <c r="A148" s="388" t="s">
        <v>835</v>
      </c>
      <c r="B148" s="388" t="s">
        <v>8953</v>
      </c>
      <c r="C148" s="1" t="s">
        <v>8954</v>
      </c>
      <c r="D148" s="7">
        <v>3647</v>
      </c>
      <c r="F148" s="388" t="s">
        <v>8798</v>
      </c>
      <c r="G148" s="19"/>
      <c r="I148" s="1"/>
    </row>
    <row r="149" spans="1:9">
      <c r="A149" s="388" t="s">
        <v>836</v>
      </c>
      <c r="B149" s="388" t="s">
        <v>8955</v>
      </c>
      <c r="C149" s="1" t="s">
        <v>8956</v>
      </c>
      <c r="D149" s="7">
        <v>1868</v>
      </c>
      <c r="F149" s="388" t="s">
        <v>8806</v>
      </c>
      <c r="G149" s="19"/>
      <c r="I149" s="1"/>
    </row>
    <row r="150" spans="1:9">
      <c r="A150" s="388" t="s">
        <v>837</v>
      </c>
      <c r="B150" s="388" t="s">
        <v>8957</v>
      </c>
      <c r="C150" s="1" t="s">
        <v>8958</v>
      </c>
      <c r="D150" s="8">
        <v>1806</v>
      </c>
      <c r="F150" s="388" t="s">
        <v>8801</v>
      </c>
      <c r="G150" s="20"/>
      <c r="I150" s="1"/>
    </row>
    <row r="151" spans="1:9">
      <c r="A151" s="388" t="s">
        <v>838</v>
      </c>
      <c r="B151" s="388" t="s">
        <v>8959</v>
      </c>
      <c r="C151" s="1" t="s">
        <v>8960</v>
      </c>
      <c r="D151" s="7">
        <v>1684</v>
      </c>
      <c r="F151" s="388" t="s">
        <v>8806</v>
      </c>
      <c r="G151" s="19"/>
      <c r="I151" s="1"/>
    </row>
    <row r="152" spans="1:9">
      <c r="A152" s="388" t="s">
        <v>840</v>
      </c>
      <c r="B152" s="388" t="s">
        <v>8961</v>
      </c>
      <c r="C152" s="1" t="s">
        <v>8962</v>
      </c>
      <c r="D152" s="7">
        <v>3652</v>
      </c>
      <c r="F152" s="388" t="s">
        <v>8798</v>
      </c>
      <c r="G152" s="19"/>
      <c r="I152" s="1"/>
    </row>
    <row r="153" spans="1:9">
      <c r="A153" s="388" t="s">
        <v>841</v>
      </c>
      <c r="B153" s="388" t="s">
        <v>8963</v>
      </c>
      <c r="C153" s="1" t="s">
        <v>8964</v>
      </c>
      <c r="D153" s="7">
        <v>2097</v>
      </c>
      <c r="F153" s="388" t="s">
        <v>8806</v>
      </c>
      <c r="G153" s="19"/>
      <c r="I153" s="1"/>
    </row>
    <row r="154" spans="1:9">
      <c r="A154" s="388" t="s">
        <v>878</v>
      </c>
      <c r="B154" s="388" t="s">
        <v>8965</v>
      </c>
      <c r="C154" s="1" t="s">
        <v>8966</v>
      </c>
      <c r="D154" s="7">
        <v>3577</v>
      </c>
      <c r="F154" s="388" t="s">
        <v>8798</v>
      </c>
      <c r="G154" s="19"/>
      <c r="I154" s="1"/>
    </row>
    <row r="155" spans="1:9">
      <c r="A155" s="388" t="s">
        <v>879</v>
      </c>
      <c r="B155" s="388" t="s">
        <v>8967</v>
      </c>
      <c r="C155" s="1" t="s">
        <v>8968</v>
      </c>
      <c r="D155" s="7">
        <v>7465</v>
      </c>
      <c r="F155" s="388" t="s">
        <v>8798</v>
      </c>
      <c r="G155" s="19"/>
      <c r="I155" s="1"/>
    </row>
    <row r="156" spans="1:9">
      <c r="A156" s="388" t="s">
        <v>880</v>
      </c>
      <c r="B156" s="388" t="s">
        <v>8969</v>
      </c>
      <c r="C156" s="1" t="s">
        <v>8970</v>
      </c>
      <c r="D156" s="7">
        <v>3708</v>
      </c>
      <c r="F156" s="388" t="s">
        <v>8798</v>
      </c>
      <c r="G156" s="19"/>
      <c r="I156" s="1"/>
    </row>
    <row r="157" spans="1:9">
      <c r="A157" s="388" t="s">
        <v>721</v>
      </c>
      <c r="B157" s="388" t="s">
        <v>8971</v>
      </c>
      <c r="C157" s="1" t="s">
        <v>8972</v>
      </c>
      <c r="D157" s="7">
        <v>1819</v>
      </c>
      <c r="F157" s="388" t="s">
        <v>8798</v>
      </c>
      <c r="G157" s="19"/>
      <c r="I157" s="1"/>
    </row>
    <row r="158" spans="1:9">
      <c r="A158" s="388" t="s">
        <v>722</v>
      </c>
      <c r="B158" s="388" t="s">
        <v>8973</v>
      </c>
      <c r="C158" s="1" t="s">
        <v>8974</v>
      </c>
      <c r="D158" s="8">
        <v>2125</v>
      </c>
      <c r="F158" s="388" t="s">
        <v>8801</v>
      </c>
      <c r="G158" s="20"/>
      <c r="I158" s="1"/>
    </row>
    <row r="159" spans="1:9">
      <c r="A159" s="388" t="s">
        <v>723</v>
      </c>
      <c r="B159" s="388" t="s">
        <v>8975</v>
      </c>
      <c r="C159" s="1" t="s">
        <v>8976</v>
      </c>
      <c r="D159" s="8">
        <v>1801</v>
      </c>
      <c r="F159" s="388" t="s">
        <v>8801</v>
      </c>
      <c r="G159" s="20"/>
      <c r="I159" s="1"/>
    </row>
    <row r="160" spans="1:9">
      <c r="A160" s="388" t="s">
        <v>733</v>
      </c>
      <c r="B160" s="388" t="s">
        <v>8977</v>
      </c>
      <c r="C160" s="1" t="s">
        <v>8978</v>
      </c>
      <c r="D160" s="7">
        <v>3481</v>
      </c>
      <c r="F160" s="388" t="s">
        <v>8798</v>
      </c>
      <c r="G160" s="19"/>
      <c r="I160" s="1"/>
    </row>
    <row r="161" spans="1:9">
      <c r="A161" s="388" t="s">
        <v>734</v>
      </c>
      <c r="B161" s="388" t="s">
        <v>8979</v>
      </c>
      <c r="C161" s="1" t="s">
        <v>8980</v>
      </c>
      <c r="D161" s="8">
        <v>1993</v>
      </c>
      <c r="F161" s="388" t="s">
        <v>8801</v>
      </c>
      <c r="G161" s="20"/>
      <c r="I161" s="1"/>
    </row>
    <row r="162" spans="1:9">
      <c r="A162" s="388" t="s">
        <v>735</v>
      </c>
      <c r="B162" s="388" t="s">
        <v>8981</v>
      </c>
      <c r="C162" s="1" t="s">
        <v>8982</v>
      </c>
      <c r="D162" s="8">
        <v>1619</v>
      </c>
      <c r="F162" s="388" t="s">
        <v>8798</v>
      </c>
      <c r="G162" s="20"/>
      <c r="I162" s="1"/>
    </row>
    <row r="163" spans="1:9">
      <c r="A163" s="388" t="s">
        <v>736</v>
      </c>
      <c r="B163" s="388" t="s">
        <v>8983</v>
      </c>
      <c r="C163" s="1" t="s">
        <v>8984</v>
      </c>
      <c r="D163" s="8">
        <v>1923</v>
      </c>
      <c r="F163" s="388" t="s">
        <v>8801</v>
      </c>
      <c r="G163" s="20"/>
      <c r="I163" s="1"/>
    </row>
    <row r="164" spans="1:9">
      <c r="D164" s="392"/>
    </row>
    <row r="165" spans="1:9">
      <c r="A165" s="388" t="s">
        <v>8985</v>
      </c>
      <c r="D165" s="391">
        <f>D134+D135+D140+D143+D144+D148+D152+SUM(D154:D157)+D160+D162</f>
        <v>41157</v>
      </c>
    </row>
    <row r="166" spans="1:9">
      <c r="A166" s="388" t="s">
        <v>8922</v>
      </c>
      <c r="D166" s="391">
        <f t="shared" ref="D166" si="32">SUM(D136:D139)+D141+D142+SUM(D145:D147)+D150+D158+D159+D161+D163</f>
        <v>29212</v>
      </c>
    </row>
    <row r="167" spans="1:9">
      <c r="A167" s="388" t="s">
        <v>8865</v>
      </c>
      <c r="D167" s="391">
        <f>D149+D151+D153</f>
        <v>5649</v>
      </c>
    </row>
    <row r="168" spans="1:9">
      <c r="A168" s="388"/>
      <c r="D168" s="391"/>
    </row>
    <row r="169" spans="1:9">
      <c r="A169" s="388" t="s">
        <v>8986</v>
      </c>
      <c r="D169" s="391"/>
    </row>
    <row r="170" spans="1:9">
      <c r="A170" s="388"/>
      <c r="B170" s="388"/>
      <c r="D170" s="397"/>
    </row>
    <row r="171" spans="1:9">
      <c r="A171" s="388"/>
      <c r="B171" s="388"/>
      <c r="D171" s="397"/>
    </row>
    <row r="172" spans="1:9">
      <c r="D172" s="10" t="s">
        <v>285</v>
      </c>
      <c r="E172" s="38"/>
      <c r="F172" s="5" t="s">
        <v>4116</v>
      </c>
    </row>
    <row r="173" spans="1:9">
      <c r="D173" s="39">
        <v>2016</v>
      </c>
      <c r="E173" s="38"/>
      <c r="F173" s="41" t="s">
        <v>286</v>
      </c>
    </row>
    <row r="174" spans="1:9">
      <c r="A174" s="388" t="s">
        <v>8987</v>
      </c>
      <c r="D174" s="391">
        <f t="shared" ref="D174" si="33">SUM(D175:D205)</f>
        <v>76662</v>
      </c>
    </row>
    <row r="175" spans="1:9">
      <c r="A175" s="388" t="s">
        <v>812</v>
      </c>
      <c r="B175" s="388" t="s">
        <v>8988</v>
      </c>
      <c r="C175" s="1" t="s">
        <v>8989</v>
      </c>
      <c r="D175" s="7">
        <v>3270</v>
      </c>
      <c r="F175" s="388" t="s">
        <v>8798</v>
      </c>
      <c r="G175" s="1"/>
      <c r="I175" s="1"/>
    </row>
    <row r="176" spans="1:9">
      <c r="A176" s="388" t="s">
        <v>813</v>
      </c>
      <c r="B176" s="388" t="s">
        <v>8990</v>
      </c>
      <c r="C176" s="1" t="s">
        <v>8991</v>
      </c>
      <c r="D176" s="8">
        <v>1941</v>
      </c>
      <c r="F176" s="388" t="s">
        <v>8810</v>
      </c>
      <c r="G176" s="1"/>
      <c r="I176" s="1"/>
    </row>
    <row r="177" spans="1:9">
      <c r="A177" s="388" t="s">
        <v>814</v>
      </c>
      <c r="B177" s="388" t="s">
        <v>8992</v>
      </c>
      <c r="C177" s="1" t="s">
        <v>8993</v>
      </c>
      <c r="D177" s="8">
        <v>2089</v>
      </c>
      <c r="F177" s="388" t="s">
        <v>8810</v>
      </c>
      <c r="G177" s="1"/>
      <c r="I177" s="1"/>
    </row>
    <row r="178" spans="1:9">
      <c r="A178" s="388" t="s">
        <v>815</v>
      </c>
      <c r="B178" s="388" t="s">
        <v>8994</v>
      </c>
      <c r="C178" s="1" t="s">
        <v>8995</v>
      </c>
      <c r="D178" s="8">
        <v>1795</v>
      </c>
      <c r="F178" s="388" t="s">
        <v>8810</v>
      </c>
      <c r="G178" s="1"/>
      <c r="I178" s="1"/>
    </row>
    <row r="179" spans="1:9">
      <c r="A179" s="388" t="s">
        <v>816</v>
      </c>
      <c r="B179" s="388" t="s">
        <v>5810</v>
      </c>
      <c r="C179" s="1" t="s">
        <v>8996</v>
      </c>
      <c r="D179" s="7">
        <v>1582</v>
      </c>
      <c r="F179" s="388" t="s">
        <v>8806</v>
      </c>
      <c r="G179" s="1"/>
      <c r="I179" s="1"/>
    </row>
    <row r="180" spans="1:9">
      <c r="A180" s="388" t="s">
        <v>826</v>
      </c>
      <c r="B180" s="388" t="s">
        <v>8997</v>
      </c>
      <c r="C180" s="1" t="s">
        <v>8998</v>
      </c>
      <c r="D180" s="8">
        <v>1670</v>
      </c>
      <c r="F180" s="388" t="s">
        <v>8810</v>
      </c>
      <c r="G180" s="1"/>
      <c r="I180" s="1"/>
    </row>
    <row r="181" spans="1:9">
      <c r="A181" s="388" t="s">
        <v>827</v>
      </c>
      <c r="B181" s="388" t="s">
        <v>8999</v>
      </c>
      <c r="C181" s="1" t="s">
        <v>9000</v>
      </c>
      <c r="D181" s="8">
        <v>1657</v>
      </c>
      <c r="F181" s="388" t="s">
        <v>8806</v>
      </c>
      <c r="G181" s="1"/>
      <c r="I181" s="1"/>
    </row>
    <row r="182" spans="1:9">
      <c r="A182" s="388" t="s">
        <v>828</v>
      </c>
      <c r="B182" s="388" t="s">
        <v>9001</v>
      </c>
      <c r="C182" s="1" t="s">
        <v>9002</v>
      </c>
      <c r="D182" s="7">
        <v>1691</v>
      </c>
      <c r="F182" s="388" t="s">
        <v>8798</v>
      </c>
      <c r="G182" s="1"/>
      <c r="I182" s="1"/>
    </row>
    <row r="183" spans="1:9">
      <c r="A183" s="388" t="s">
        <v>829</v>
      </c>
      <c r="B183" s="388" t="s">
        <v>9003</v>
      </c>
      <c r="C183" s="1" t="s">
        <v>9004</v>
      </c>
      <c r="D183" s="7">
        <v>1617</v>
      </c>
      <c r="F183" s="388" t="s">
        <v>8798</v>
      </c>
      <c r="G183" s="1"/>
      <c r="I183" s="1"/>
    </row>
    <row r="184" spans="1:9">
      <c r="A184" s="388" t="s">
        <v>830</v>
      </c>
      <c r="B184" s="388" t="s">
        <v>9005</v>
      </c>
      <c r="C184" s="1" t="s">
        <v>9006</v>
      </c>
      <c r="D184" s="7">
        <v>1716</v>
      </c>
      <c r="F184" s="388" t="s">
        <v>8798</v>
      </c>
      <c r="G184" s="1"/>
      <c r="I184" s="1"/>
    </row>
    <row r="185" spans="1:9">
      <c r="A185" s="388" t="s">
        <v>831</v>
      </c>
      <c r="B185" s="388" t="s">
        <v>9007</v>
      </c>
      <c r="C185" s="1" t="s">
        <v>9008</v>
      </c>
      <c r="D185" s="8">
        <v>4954</v>
      </c>
      <c r="F185" s="388" t="s">
        <v>8810</v>
      </c>
      <c r="G185" s="1"/>
      <c r="I185" s="1"/>
    </row>
    <row r="186" spans="1:9">
      <c r="A186" s="388" t="s">
        <v>832</v>
      </c>
      <c r="B186" s="388" t="s">
        <v>9009</v>
      </c>
      <c r="C186" s="1" t="s">
        <v>9010</v>
      </c>
      <c r="D186" s="8">
        <v>5192</v>
      </c>
      <c r="F186" s="388" t="s">
        <v>8810</v>
      </c>
      <c r="G186" s="1"/>
      <c r="I186" s="1"/>
    </row>
    <row r="187" spans="1:9">
      <c r="A187" s="388" t="s">
        <v>833</v>
      </c>
      <c r="B187" s="388" t="s">
        <v>9011</v>
      </c>
      <c r="C187" s="1" t="s">
        <v>9012</v>
      </c>
      <c r="D187" s="8">
        <v>3439</v>
      </c>
      <c r="F187" s="388" t="s">
        <v>8810</v>
      </c>
      <c r="G187" s="1"/>
      <c r="I187" s="1"/>
    </row>
    <row r="188" spans="1:9">
      <c r="A188" s="388" t="s">
        <v>834</v>
      </c>
      <c r="B188" s="388" t="s">
        <v>9013</v>
      </c>
      <c r="C188" s="1" t="s">
        <v>9014</v>
      </c>
      <c r="D188" s="8">
        <v>3675</v>
      </c>
      <c r="F188" s="388" t="s">
        <v>8810</v>
      </c>
      <c r="G188" s="1"/>
      <c r="I188" s="1"/>
    </row>
    <row r="189" spans="1:9">
      <c r="A189" s="388" t="s">
        <v>835</v>
      </c>
      <c r="B189" s="388" t="s">
        <v>9015</v>
      </c>
      <c r="C189" s="1" t="s">
        <v>9016</v>
      </c>
      <c r="D189" s="7">
        <v>1664</v>
      </c>
      <c r="F189" s="388" t="s">
        <v>8798</v>
      </c>
      <c r="G189" s="1"/>
      <c r="I189" s="1"/>
    </row>
    <row r="190" spans="1:9">
      <c r="A190" s="388" t="s">
        <v>836</v>
      </c>
      <c r="B190" s="388" t="s">
        <v>9017</v>
      </c>
      <c r="C190" s="1" t="s">
        <v>9018</v>
      </c>
      <c r="D190" s="8">
        <v>1669</v>
      </c>
      <c r="F190" s="388" t="s">
        <v>8810</v>
      </c>
      <c r="G190" s="1"/>
      <c r="I190" s="1"/>
    </row>
    <row r="191" spans="1:9">
      <c r="A191" s="388" t="s">
        <v>837</v>
      </c>
      <c r="B191" s="388" t="s">
        <v>9019</v>
      </c>
      <c r="C191" s="1" t="s">
        <v>9020</v>
      </c>
      <c r="D191" s="8">
        <v>1700</v>
      </c>
      <c r="F191" s="388" t="s">
        <v>8810</v>
      </c>
      <c r="G191" s="1"/>
      <c r="I191" s="1"/>
    </row>
    <row r="192" spans="1:9">
      <c r="A192" s="388" t="s">
        <v>838</v>
      </c>
      <c r="B192" s="388" t="s">
        <v>9021</v>
      </c>
      <c r="C192" s="1" t="s">
        <v>9022</v>
      </c>
      <c r="D192" s="8">
        <v>1526</v>
      </c>
      <c r="F192" s="388" t="s">
        <v>8810</v>
      </c>
      <c r="G192" s="1"/>
      <c r="I192" s="1"/>
    </row>
    <row r="193" spans="1:9">
      <c r="A193" s="388" t="s">
        <v>840</v>
      </c>
      <c r="B193" s="388" t="s">
        <v>9023</v>
      </c>
      <c r="C193" s="1" t="s">
        <v>9024</v>
      </c>
      <c r="D193" s="7">
        <v>3287</v>
      </c>
      <c r="F193" s="388" t="s">
        <v>8798</v>
      </c>
      <c r="G193" s="1"/>
      <c r="I193" s="1"/>
    </row>
    <row r="194" spans="1:9">
      <c r="A194" s="388" t="s">
        <v>841</v>
      </c>
      <c r="B194" s="388" t="s">
        <v>9025</v>
      </c>
      <c r="C194" s="1" t="s">
        <v>9026</v>
      </c>
      <c r="D194" s="7">
        <v>5182</v>
      </c>
      <c r="F194" s="388" t="s">
        <v>8798</v>
      </c>
      <c r="G194" s="1"/>
      <c r="I194" s="1"/>
    </row>
    <row r="195" spans="1:9">
      <c r="A195" s="388" t="s">
        <v>878</v>
      </c>
      <c r="B195" s="388" t="s">
        <v>6233</v>
      </c>
      <c r="C195" s="1" t="s">
        <v>9027</v>
      </c>
      <c r="D195" s="7">
        <v>1753</v>
      </c>
      <c r="F195" s="388" t="s">
        <v>8798</v>
      </c>
      <c r="G195" s="1"/>
      <c r="I195" s="1"/>
    </row>
    <row r="196" spans="1:9">
      <c r="A196" s="388" t="s">
        <v>879</v>
      </c>
      <c r="B196" s="388" t="s">
        <v>9028</v>
      </c>
      <c r="C196" s="1" t="s">
        <v>9029</v>
      </c>
      <c r="D196" s="7">
        <v>1907</v>
      </c>
      <c r="F196" s="388" t="s">
        <v>8798</v>
      </c>
      <c r="G196" s="1"/>
      <c r="I196" s="1"/>
    </row>
    <row r="197" spans="1:9">
      <c r="A197" s="388" t="s">
        <v>880</v>
      </c>
      <c r="B197" s="388" t="s">
        <v>9030</v>
      </c>
      <c r="C197" s="1" t="s">
        <v>9031</v>
      </c>
      <c r="D197" s="8">
        <v>1875</v>
      </c>
      <c r="F197" s="388" t="s">
        <v>8810</v>
      </c>
      <c r="G197" s="1"/>
      <c r="I197" s="1"/>
    </row>
    <row r="198" spans="1:9">
      <c r="A198" s="388" t="s">
        <v>721</v>
      </c>
      <c r="B198" s="388" t="s">
        <v>9032</v>
      </c>
      <c r="C198" s="1" t="s">
        <v>9033</v>
      </c>
      <c r="D198" s="7">
        <v>3248</v>
      </c>
      <c r="F198" s="388" t="s">
        <v>8798</v>
      </c>
      <c r="G198" s="1"/>
      <c r="I198" s="1"/>
    </row>
    <row r="199" spans="1:9">
      <c r="A199" s="388" t="s">
        <v>722</v>
      </c>
      <c r="B199" s="388" t="s">
        <v>9034</v>
      </c>
      <c r="C199" s="1" t="s">
        <v>9035</v>
      </c>
      <c r="D199" s="7">
        <v>1768</v>
      </c>
      <c r="F199" s="388" t="s">
        <v>8798</v>
      </c>
      <c r="G199" s="1"/>
      <c r="I199" s="1"/>
    </row>
    <row r="200" spans="1:9">
      <c r="A200" s="388" t="s">
        <v>723</v>
      </c>
      <c r="B200" s="388" t="s">
        <v>9036</v>
      </c>
      <c r="C200" s="1" t="s">
        <v>9037</v>
      </c>
      <c r="D200" s="7">
        <v>3080</v>
      </c>
      <c r="F200" s="388" t="s">
        <v>8798</v>
      </c>
      <c r="G200" s="1"/>
      <c r="I200" s="1"/>
    </row>
    <row r="201" spans="1:9">
      <c r="A201" s="388" t="s">
        <v>733</v>
      </c>
      <c r="B201" s="388" t="s">
        <v>9038</v>
      </c>
      <c r="C201" s="1" t="s">
        <v>9039</v>
      </c>
      <c r="D201" s="7">
        <v>3274</v>
      </c>
      <c r="F201" s="388" t="s">
        <v>8798</v>
      </c>
      <c r="G201" s="1"/>
      <c r="I201" s="1"/>
    </row>
    <row r="202" spans="1:9">
      <c r="A202" s="388" t="s">
        <v>734</v>
      </c>
      <c r="B202" s="388" t="s">
        <v>4326</v>
      </c>
      <c r="C202" s="1" t="s">
        <v>9040</v>
      </c>
      <c r="D202" s="8">
        <v>1991</v>
      </c>
      <c r="F202" s="388" t="s">
        <v>8810</v>
      </c>
      <c r="G202" s="1"/>
      <c r="I202" s="1"/>
    </row>
    <row r="203" spans="1:9">
      <c r="A203" s="388" t="s">
        <v>735</v>
      </c>
      <c r="B203" s="388" t="s">
        <v>543</v>
      </c>
      <c r="C203" s="1" t="s">
        <v>9041</v>
      </c>
      <c r="D203" s="7">
        <v>3214</v>
      </c>
      <c r="F203" s="388" t="s">
        <v>8798</v>
      </c>
      <c r="G203" s="1"/>
      <c r="I203" s="1"/>
    </row>
    <row r="204" spans="1:9">
      <c r="A204" s="388" t="s">
        <v>736</v>
      </c>
      <c r="B204" s="388" t="s">
        <v>9042</v>
      </c>
      <c r="C204" s="1" t="s">
        <v>9043</v>
      </c>
      <c r="D204" s="8">
        <v>1680</v>
      </c>
      <c r="F204" s="388" t="s">
        <v>8810</v>
      </c>
      <c r="G204" s="1"/>
      <c r="I204" s="1"/>
    </row>
    <row r="205" spans="1:9">
      <c r="A205" s="388" t="s">
        <v>931</v>
      </c>
      <c r="B205" s="388" t="s">
        <v>9044</v>
      </c>
      <c r="C205" s="1" t="s">
        <v>9045</v>
      </c>
      <c r="D205" s="8">
        <v>1556</v>
      </c>
      <c r="F205" s="388" t="s">
        <v>8810</v>
      </c>
      <c r="G205" s="1"/>
      <c r="I205" s="1"/>
    </row>
    <row r="206" spans="1:9">
      <c r="D206" s="392"/>
    </row>
    <row r="207" spans="1:9">
      <c r="A207" s="388" t="s">
        <v>8985</v>
      </c>
      <c r="D207" s="391">
        <f t="shared" ref="D207" si="34">D175+SUM(D182:D184)+D189+SUM(D193:D196)+SUM(D198:D201)+D203</f>
        <v>36671</v>
      </c>
    </row>
    <row r="208" spans="1:9">
      <c r="A208" s="388" t="s">
        <v>8865</v>
      </c>
      <c r="D208" s="391">
        <f t="shared" ref="D208" si="35">D179+D181</f>
        <v>3239</v>
      </c>
    </row>
    <row r="209" spans="1:9">
      <c r="A209" s="388" t="s">
        <v>8892</v>
      </c>
      <c r="D209" s="391">
        <f t="shared" ref="D209" si="36">SUM(D176:D178)+D180+SUM(D185:D188)+SUM(D190:D192)+D197+D202+D204+D205</f>
        <v>36752</v>
      </c>
    </row>
    <row r="210" spans="1:9">
      <c r="A210" s="388"/>
      <c r="D210" s="391"/>
    </row>
    <row r="211" spans="1:9">
      <c r="A211" s="388" t="s">
        <v>9046</v>
      </c>
      <c r="D211" s="391"/>
    </row>
    <row r="212" spans="1:9">
      <c r="A212" s="388"/>
      <c r="B212" s="388"/>
      <c r="D212" s="397"/>
    </row>
    <row r="213" spans="1:9">
      <c r="A213" s="388"/>
      <c r="B213" s="388"/>
      <c r="D213" s="397"/>
    </row>
    <row r="214" spans="1:9">
      <c r="D214" s="10" t="s">
        <v>285</v>
      </c>
      <c r="E214" s="38"/>
      <c r="F214" s="5" t="s">
        <v>4116</v>
      </c>
    </row>
    <row r="215" spans="1:9">
      <c r="D215" s="39">
        <v>2016</v>
      </c>
      <c r="E215" s="38"/>
      <c r="F215" s="41" t="s">
        <v>286</v>
      </c>
    </row>
    <row r="216" spans="1:9">
      <c r="A216" s="388" t="s">
        <v>9047</v>
      </c>
      <c r="D216" s="391">
        <f>SUM(D217:D242)</f>
        <v>93970</v>
      </c>
    </row>
    <row r="217" spans="1:9">
      <c r="A217" s="388" t="s">
        <v>812</v>
      </c>
      <c r="B217" s="388" t="s">
        <v>9048</v>
      </c>
      <c r="C217" s="1" t="s">
        <v>9049</v>
      </c>
      <c r="D217" s="13">
        <v>3944</v>
      </c>
      <c r="F217" s="388" t="s">
        <v>8807</v>
      </c>
      <c r="G217" s="1"/>
      <c r="I217" s="1"/>
    </row>
    <row r="218" spans="1:9">
      <c r="A218" s="388" t="s">
        <v>813</v>
      </c>
      <c r="B218" s="388" t="s">
        <v>9050</v>
      </c>
      <c r="C218" s="1" t="s">
        <v>9051</v>
      </c>
      <c r="D218" s="13">
        <v>2048</v>
      </c>
      <c r="F218" s="388" t="s">
        <v>8807</v>
      </c>
      <c r="G218" s="1"/>
      <c r="I218" s="1"/>
    </row>
    <row r="219" spans="1:9">
      <c r="A219" s="388" t="s">
        <v>814</v>
      </c>
      <c r="B219" s="388" t="s">
        <v>9052</v>
      </c>
      <c r="C219" s="1" t="s">
        <v>9053</v>
      </c>
      <c r="D219" s="13">
        <v>4014</v>
      </c>
      <c r="F219" s="388" t="s">
        <v>8807</v>
      </c>
      <c r="G219" s="1"/>
      <c r="I219" s="1"/>
    </row>
    <row r="220" spans="1:9">
      <c r="A220" s="388" t="s">
        <v>815</v>
      </c>
      <c r="B220" s="388" t="s">
        <v>9054</v>
      </c>
      <c r="C220" s="1" t="s">
        <v>9055</v>
      </c>
      <c r="D220" s="13">
        <v>4433</v>
      </c>
      <c r="F220" s="388" t="s">
        <v>8807</v>
      </c>
      <c r="G220" s="1"/>
      <c r="I220" s="1"/>
    </row>
    <row r="221" spans="1:9">
      <c r="A221" s="388" t="s">
        <v>816</v>
      </c>
      <c r="B221" s="388" t="s">
        <v>9056</v>
      </c>
      <c r="C221" s="1" t="s">
        <v>9057</v>
      </c>
      <c r="D221" s="13">
        <v>4611</v>
      </c>
      <c r="F221" s="388" t="s">
        <v>8807</v>
      </c>
      <c r="G221" s="1"/>
      <c r="I221" s="1"/>
    </row>
    <row r="222" spans="1:9">
      <c r="A222" s="388" t="s">
        <v>826</v>
      </c>
      <c r="B222" s="388" t="s">
        <v>9058</v>
      </c>
      <c r="C222" s="1" t="s">
        <v>9059</v>
      </c>
      <c r="D222" s="13">
        <v>4555</v>
      </c>
      <c r="F222" s="388" t="s">
        <v>8807</v>
      </c>
      <c r="G222" s="1"/>
      <c r="I222" s="1"/>
    </row>
    <row r="223" spans="1:9">
      <c r="A223" s="388" t="s">
        <v>827</v>
      </c>
      <c r="B223" s="388" t="s">
        <v>9060</v>
      </c>
      <c r="C223" s="1" t="s">
        <v>9061</v>
      </c>
      <c r="D223" s="13">
        <v>4236</v>
      </c>
      <c r="F223" s="388" t="s">
        <v>8801</v>
      </c>
      <c r="G223" s="1"/>
      <c r="I223" s="1"/>
    </row>
    <row r="224" spans="1:9">
      <c r="A224" s="388" t="s">
        <v>828</v>
      </c>
      <c r="B224" s="388" t="s">
        <v>9062</v>
      </c>
      <c r="C224" s="1" t="s">
        <v>9063</v>
      </c>
      <c r="D224" s="13">
        <v>2470</v>
      </c>
      <c r="F224" s="388" t="s">
        <v>8801</v>
      </c>
      <c r="G224" s="1"/>
      <c r="I224" s="1"/>
    </row>
    <row r="225" spans="1:9">
      <c r="A225" s="388" t="s">
        <v>829</v>
      </c>
      <c r="B225" s="388" t="s">
        <v>9064</v>
      </c>
      <c r="C225" s="1" t="s">
        <v>9065</v>
      </c>
      <c r="D225" s="13">
        <v>2540</v>
      </c>
      <c r="F225" s="388" t="s">
        <v>8801</v>
      </c>
      <c r="G225" s="1"/>
      <c r="I225" s="1"/>
    </row>
    <row r="226" spans="1:9">
      <c r="A226" s="388" t="s">
        <v>830</v>
      </c>
      <c r="B226" s="388" t="s">
        <v>9066</v>
      </c>
      <c r="C226" s="1" t="s">
        <v>9067</v>
      </c>
      <c r="D226" s="13">
        <v>2452</v>
      </c>
      <c r="F226" s="388" t="s">
        <v>8801</v>
      </c>
      <c r="G226" s="1"/>
      <c r="I226" s="1"/>
    </row>
    <row r="227" spans="1:9">
      <c r="A227" s="388" t="s">
        <v>831</v>
      </c>
      <c r="B227" s="388" t="s">
        <v>9068</v>
      </c>
      <c r="C227" s="1" t="s">
        <v>9069</v>
      </c>
      <c r="D227" s="13">
        <v>4841</v>
      </c>
      <c r="F227" s="388" t="s">
        <v>8801</v>
      </c>
      <c r="G227" s="1"/>
      <c r="I227" s="1"/>
    </row>
    <row r="228" spans="1:9">
      <c r="A228" s="388" t="s">
        <v>832</v>
      </c>
      <c r="B228" s="388" t="s">
        <v>9070</v>
      </c>
      <c r="C228" s="1" t="s">
        <v>9071</v>
      </c>
      <c r="D228" s="13">
        <v>5333</v>
      </c>
      <c r="F228" s="388" t="s">
        <v>8801</v>
      </c>
      <c r="G228" s="1"/>
      <c r="I228" s="1"/>
    </row>
    <row r="229" spans="1:9">
      <c r="A229" s="388" t="s">
        <v>833</v>
      </c>
      <c r="B229" s="388" t="s">
        <v>9072</v>
      </c>
      <c r="C229" s="1" t="s">
        <v>9073</v>
      </c>
      <c r="D229" s="13">
        <v>2353</v>
      </c>
      <c r="F229" s="388" t="s">
        <v>8807</v>
      </c>
      <c r="G229" s="1"/>
      <c r="I229" s="1"/>
    </row>
    <row r="230" spans="1:9">
      <c r="A230" s="388" t="s">
        <v>834</v>
      </c>
      <c r="B230" s="388" t="s">
        <v>9074</v>
      </c>
      <c r="C230" s="1" t="s">
        <v>9075</v>
      </c>
      <c r="D230" s="13">
        <v>4469</v>
      </c>
      <c r="F230" s="388" t="s">
        <v>8807</v>
      </c>
      <c r="G230" s="1"/>
      <c r="I230" s="1"/>
    </row>
    <row r="231" spans="1:9">
      <c r="A231" s="388" t="s">
        <v>835</v>
      </c>
      <c r="B231" s="388" t="s">
        <v>9076</v>
      </c>
      <c r="C231" s="1" t="s">
        <v>9077</v>
      </c>
      <c r="D231" s="13">
        <v>3968</v>
      </c>
      <c r="F231" s="388" t="s">
        <v>8807</v>
      </c>
      <c r="G231" s="1"/>
      <c r="I231" s="1"/>
    </row>
    <row r="232" spans="1:9">
      <c r="A232" s="388" t="s">
        <v>836</v>
      </c>
      <c r="B232" s="388" t="s">
        <v>4053</v>
      </c>
      <c r="C232" s="1" t="s">
        <v>9078</v>
      </c>
      <c r="D232" s="13">
        <v>4637</v>
      </c>
      <c r="F232" s="388" t="s">
        <v>8807</v>
      </c>
      <c r="G232" s="1"/>
      <c r="I232" s="1"/>
    </row>
    <row r="233" spans="1:9">
      <c r="A233" s="388" t="s">
        <v>837</v>
      </c>
      <c r="B233" s="388" t="s">
        <v>9079</v>
      </c>
      <c r="C233" s="1" t="s">
        <v>9080</v>
      </c>
      <c r="D233" s="13">
        <v>2347</v>
      </c>
      <c r="F233" s="388" t="s">
        <v>8807</v>
      </c>
      <c r="G233" s="1"/>
      <c r="I233" s="1"/>
    </row>
    <row r="234" spans="1:9">
      <c r="A234" s="388" t="s">
        <v>838</v>
      </c>
      <c r="B234" s="388" t="s">
        <v>9081</v>
      </c>
      <c r="C234" s="1" t="s">
        <v>9082</v>
      </c>
      <c r="D234" s="13">
        <v>2278</v>
      </c>
      <c r="F234" s="388" t="s">
        <v>8807</v>
      </c>
      <c r="G234" s="1"/>
      <c r="I234" s="1"/>
    </row>
    <row r="235" spans="1:9">
      <c r="A235" s="388" t="s">
        <v>840</v>
      </c>
      <c r="B235" s="388" t="s">
        <v>9083</v>
      </c>
      <c r="C235" s="1" t="s">
        <v>9084</v>
      </c>
      <c r="D235" s="13">
        <v>2277</v>
      </c>
      <c r="F235" s="388" t="s">
        <v>8807</v>
      </c>
      <c r="G235" s="1"/>
      <c r="I235" s="1"/>
    </row>
    <row r="236" spans="1:9">
      <c r="A236" s="388" t="s">
        <v>841</v>
      </c>
      <c r="B236" s="388" t="s">
        <v>9085</v>
      </c>
      <c r="C236" s="1" t="s">
        <v>9086</v>
      </c>
      <c r="D236" s="13">
        <v>2123</v>
      </c>
      <c r="F236" s="388" t="s">
        <v>8807</v>
      </c>
      <c r="G236" s="1"/>
      <c r="I236" s="1"/>
    </row>
    <row r="237" spans="1:9">
      <c r="A237" s="388" t="s">
        <v>878</v>
      </c>
      <c r="B237" s="388" t="s">
        <v>9087</v>
      </c>
      <c r="C237" s="1" t="s">
        <v>9088</v>
      </c>
      <c r="D237" s="13">
        <v>4145</v>
      </c>
      <c r="F237" s="388" t="s">
        <v>8807</v>
      </c>
      <c r="G237" s="1"/>
      <c r="I237" s="1"/>
    </row>
    <row r="238" spans="1:9">
      <c r="A238" s="388" t="s">
        <v>879</v>
      </c>
      <c r="B238" s="388" t="s">
        <v>9089</v>
      </c>
      <c r="C238" s="1" t="s">
        <v>9090</v>
      </c>
      <c r="D238" s="13">
        <v>4243</v>
      </c>
      <c r="F238" s="388" t="s">
        <v>8807</v>
      </c>
      <c r="G238" s="1"/>
      <c r="I238" s="1"/>
    </row>
    <row r="239" spans="1:9">
      <c r="A239" s="388" t="s">
        <v>880</v>
      </c>
      <c r="B239" s="388" t="s">
        <v>55</v>
      </c>
      <c r="C239" s="1" t="s">
        <v>9091</v>
      </c>
      <c r="D239" s="13">
        <v>4059</v>
      </c>
      <c r="F239" s="388" t="s">
        <v>8801</v>
      </c>
      <c r="G239" s="1"/>
      <c r="I239" s="1"/>
    </row>
    <row r="240" spans="1:9">
      <c r="A240" s="388" t="s">
        <v>721</v>
      </c>
      <c r="B240" s="388" t="s">
        <v>9092</v>
      </c>
      <c r="C240" s="1" t="s">
        <v>9093</v>
      </c>
      <c r="D240" s="13">
        <v>2177</v>
      </c>
      <c r="F240" s="388" t="s">
        <v>8807</v>
      </c>
      <c r="G240" s="1"/>
      <c r="I240" s="1"/>
    </row>
    <row r="241" spans="1:9">
      <c r="A241" s="388" t="s">
        <v>722</v>
      </c>
      <c r="B241" s="388" t="s">
        <v>9094</v>
      </c>
      <c r="C241" s="1" t="s">
        <v>9095</v>
      </c>
      <c r="D241" s="13">
        <v>2230</v>
      </c>
      <c r="F241" s="388" t="s">
        <v>8801</v>
      </c>
      <c r="G241" s="1"/>
      <c r="I241" s="1"/>
    </row>
    <row r="242" spans="1:9">
      <c r="A242" s="388" t="s">
        <v>723</v>
      </c>
      <c r="B242" s="388" t="s">
        <v>9096</v>
      </c>
      <c r="C242" s="1" t="s">
        <v>9097</v>
      </c>
      <c r="D242" s="13">
        <v>7187</v>
      </c>
      <c r="F242" s="388" t="s">
        <v>8807</v>
      </c>
      <c r="G242" s="1"/>
      <c r="I242" s="1"/>
    </row>
    <row r="243" spans="1:9">
      <c r="D243" s="392"/>
    </row>
    <row r="244" spans="1:9">
      <c r="A244" s="388" t="s">
        <v>8922</v>
      </c>
      <c r="D244" s="391">
        <f>SUM(D223:D226)+D227+D228+D239+D241</f>
        <v>28161</v>
      </c>
    </row>
    <row r="245" spans="1:9">
      <c r="A245" s="388" t="s">
        <v>9098</v>
      </c>
      <c r="D245" s="391">
        <f>SUM(D217:D222)+SUM(D229:D238)+D240+D242</f>
        <v>65809</v>
      </c>
    </row>
    <row r="246" spans="1:9">
      <c r="A246" s="388"/>
      <c r="D246" s="391"/>
    </row>
    <row r="247" spans="1:9">
      <c r="A247" s="388" t="s">
        <v>9099</v>
      </c>
      <c r="D247" s="391"/>
    </row>
    <row r="248" spans="1:9">
      <c r="A248" s="388"/>
      <c r="B248" s="388"/>
      <c r="D248" s="397"/>
    </row>
    <row r="249" spans="1:9">
      <c r="A249" s="388"/>
      <c r="B249" s="388"/>
      <c r="D249" s="397"/>
    </row>
    <row r="250" spans="1:9">
      <c r="D250" s="10" t="s">
        <v>285</v>
      </c>
      <c r="E250" s="38"/>
      <c r="F250" s="5" t="s">
        <v>4116</v>
      </c>
    </row>
    <row r="251" spans="1:9">
      <c r="D251" s="39">
        <v>2016</v>
      </c>
      <c r="E251" s="38"/>
      <c r="F251" s="41" t="s">
        <v>286</v>
      </c>
    </row>
    <row r="252" spans="1:9">
      <c r="A252" s="388" t="s">
        <v>9100</v>
      </c>
      <c r="D252" s="391">
        <f t="shared" ref="D252" si="37">SUM(D253:D275)</f>
        <v>87777</v>
      </c>
    </row>
    <row r="253" spans="1:9">
      <c r="A253" s="388" t="s">
        <v>812</v>
      </c>
      <c r="B253" s="388" t="s">
        <v>9101</v>
      </c>
      <c r="C253" s="1" t="s">
        <v>9102</v>
      </c>
      <c r="D253" s="7">
        <v>3876</v>
      </c>
      <c r="F253" s="388" t="s">
        <v>8809</v>
      </c>
      <c r="G253" s="1"/>
      <c r="I253" s="1"/>
    </row>
    <row r="254" spans="1:9">
      <c r="A254" s="388" t="s">
        <v>813</v>
      </c>
      <c r="B254" s="388" t="s">
        <v>9103</v>
      </c>
      <c r="C254" s="1" t="s">
        <v>9104</v>
      </c>
      <c r="D254" s="7">
        <v>3892</v>
      </c>
      <c r="F254" s="388" t="s">
        <v>8809</v>
      </c>
      <c r="G254" s="1"/>
      <c r="I254" s="1"/>
    </row>
    <row r="255" spans="1:9">
      <c r="A255" s="388" t="s">
        <v>814</v>
      </c>
      <c r="B255" s="388" t="s">
        <v>9105</v>
      </c>
      <c r="C255" s="1" t="s">
        <v>9106</v>
      </c>
      <c r="D255" s="7">
        <v>1710</v>
      </c>
      <c r="F255" s="388" t="s">
        <v>8807</v>
      </c>
      <c r="G255" s="1"/>
      <c r="I255" s="1"/>
    </row>
    <row r="256" spans="1:9">
      <c r="A256" s="388" t="s">
        <v>815</v>
      </c>
      <c r="B256" s="388" t="s">
        <v>9107</v>
      </c>
      <c r="C256" s="1" t="s">
        <v>9108</v>
      </c>
      <c r="D256" s="7">
        <v>3794</v>
      </c>
      <c r="F256" s="388" t="s">
        <v>8809</v>
      </c>
      <c r="G256" s="1"/>
      <c r="I256" s="1"/>
    </row>
    <row r="257" spans="1:9">
      <c r="A257" s="388" t="s">
        <v>816</v>
      </c>
      <c r="B257" s="388" t="s">
        <v>5714</v>
      </c>
      <c r="C257" s="1" t="s">
        <v>9109</v>
      </c>
      <c r="D257" s="7">
        <v>3425</v>
      </c>
      <c r="F257" s="388" t="s">
        <v>8809</v>
      </c>
      <c r="G257" s="1"/>
      <c r="I257" s="1"/>
    </row>
    <row r="258" spans="1:9">
      <c r="A258" s="388" t="s">
        <v>826</v>
      </c>
      <c r="B258" s="388" t="s">
        <v>9110</v>
      </c>
      <c r="C258" s="1" t="s">
        <v>9111</v>
      </c>
      <c r="D258" s="7">
        <v>6355</v>
      </c>
      <c r="F258" s="388" t="s">
        <v>8809</v>
      </c>
      <c r="G258" s="1"/>
      <c r="I258" s="1"/>
    </row>
    <row r="259" spans="1:9">
      <c r="A259" s="388" t="s">
        <v>827</v>
      </c>
      <c r="B259" s="388" t="s">
        <v>9112</v>
      </c>
      <c r="C259" s="1" t="s">
        <v>9113</v>
      </c>
      <c r="D259" s="7">
        <v>3732</v>
      </c>
      <c r="F259" s="388" t="s">
        <v>8809</v>
      </c>
      <c r="G259" s="1"/>
      <c r="I259" s="1"/>
    </row>
    <row r="260" spans="1:9">
      <c r="A260" s="388" t="s">
        <v>828</v>
      </c>
      <c r="B260" s="388" t="s">
        <v>9114</v>
      </c>
      <c r="C260" s="1" t="s">
        <v>9115</v>
      </c>
      <c r="D260" s="7">
        <v>3958</v>
      </c>
      <c r="F260" s="388" t="s">
        <v>8807</v>
      </c>
      <c r="G260" s="1"/>
      <c r="I260" s="1"/>
    </row>
    <row r="261" spans="1:9">
      <c r="A261" s="388" t="s">
        <v>829</v>
      </c>
      <c r="B261" s="388" t="s">
        <v>9116</v>
      </c>
      <c r="C261" s="1" t="s">
        <v>9117</v>
      </c>
      <c r="D261" s="7">
        <v>5197</v>
      </c>
      <c r="F261" s="388" t="s">
        <v>8809</v>
      </c>
      <c r="G261" s="1"/>
      <c r="I261" s="1"/>
    </row>
    <row r="262" spans="1:9">
      <c r="A262" s="388" t="s">
        <v>830</v>
      </c>
      <c r="B262" s="388" t="s">
        <v>9118</v>
      </c>
      <c r="C262" s="1" t="s">
        <v>9119</v>
      </c>
      <c r="D262" s="7">
        <v>3995</v>
      </c>
      <c r="F262" s="388" t="s">
        <v>8809</v>
      </c>
      <c r="G262" s="1"/>
      <c r="I262" s="1"/>
    </row>
    <row r="263" spans="1:9">
      <c r="A263" s="388" t="s">
        <v>831</v>
      </c>
      <c r="B263" s="388" t="s">
        <v>9120</v>
      </c>
      <c r="C263" s="1" t="s">
        <v>9121</v>
      </c>
      <c r="D263" s="7">
        <v>5060</v>
      </c>
      <c r="F263" s="388" t="s">
        <v>8809</v>
      </c>
      <c r="G263" s="1"/>
      <c r="I263" s="1"/>
    </row>
    <row r="264" spans="1:9">
      <c r="A264" s="388" t="s">
        <v>832</v>
      </c>
      <c r="B264" s="388" t="s">
        <v>8524</v>
      </c>
      <c r="C264" s="1" t="s">
        <v>9122</v>
      </c>
      <c r="D264" s="7">
        <v>1702</v>
      </c>
      <c r="F264" s="388" t="s">
        <v>8809</v>
      </c>
      <c r="G264" s="1"/>
      <c r="I264" s="1"/>
    </row>
    <row r="265" spans="1:9">
      <c r="A265" s="388" t="s">
        <v>833</v>
      </c>
      <c r="B265" s="388" t="s">
        <v>9123</v>
      </c>
      <c r="C265" s="1" t="s">
        <v>9124</v>
      </c>
      <c r="D265" s="7">
        <v>5034</v>
      </c>
      <c r="F265" s="388" t="s">
        <v>8809</v>
      </c>
      <c r="G265" s="1"/>
      <c r="I265" s="1"/>
    </row>
    <row r="266" spans="1:9">
      <c r="A266" s="388" t="s">
        <v>834</v>
      </c>
      <c r="B266" s="388" t="s">
        <v>9125</v>
      </c>
      <c r="C266" s="1" t="s">
        <v>9126</v>
      </c>
      <c r="D266" s="8">
        <v>3333</v>
      </c>
      <c r="F266" s="388" t="s">
        <v>8809</v>
      </c>
      <c r="G266" s="1"/>
      <c r="I266" s="1"/>
    </row>
    <row r="267" spans="1:9">
      <c r="A267" s="388" t="s">
        <v>835</v>
      </c>
      <c r="B267" s="388" t="s">
        <v>9127</v>
      </c>
      <c r="C267" s="1" t="s">
        <v>9128</v>
      </c>
      <c r="D267" s="8">
        <v>3744</v>
      </c>
      <c r="F267" s="388" t="s">
        <v>8809</v>
      </c>
      <c r="G267" s="1"/>
      <c r="I267" s="1"/>
    </row>
    <row r="268" spans="1:9">
      <c r="A268" s="388" t="s">
        <v>836</v>
      </c>
      <c r="B268" s="388" t="s">
        <v>9129</v>
      </c>
      <c r="C268" s="1" t="s">
        <v>9130</v>
      </c>
      <c r="D268" s="8">
        <v>5289</v>
      </c>
      <c r="F268" s="388" t="s">
        <v>8809</v>
      </c>
      <c r="G268" s="1"/>
      <c r="I268" s="1"/>
    </row>
    <row r="269" spans="1:9">
      <c r="A269" s="388" t="s">
        <v>837</v>
      </c>
      <c r="B269" s="388" t="s">
        <v>5041</v>
      </c>
      <c r="C269" s="1" t="s">
        <v>9131</v>
      </c>
      <c r="D269" s="8">
        <v>6186</v>
      </c>
      <c r="F269" s="388" t="s">
        <v>8809</v>
      </c>
      <c r="G269" s="1"/>
      <c r="I269" s="1"/>
    </row>
    <row r="270" spans="1:9">
      <c r="A270" s="388" t="s">
        <v>838</v>
      </c>
      <c r="B270" s="388" t="s">
        <v>9132</v>
      </c>
      <c r="C270" s="1" t="s">
        <v>9133</v>
      </c>
      <c r="D270" s="7">
        <v>2890</v>
      </c>
      <c r="F270" s="388" t="s">
        <v>8807</v>
      </c>
      <c r="G270" s="1"/>
      <c r="I270" s="1"/>
    </row>
    <row r="271" spans="1:9">
      <c r="A271" s="388" t="s">
        <v>840</v>
      </c>
      <c r="B271" s="388" t="s">
        <v>5175</v>
      </c>
      <c r="C271" s="1" t="s">
        <v>9134</v>
      </c>
      <c r="D271" s="8">
        <v>1805</v>
      </c>
      <c r="F271" s="388" t="s">
        <v>8809</v>
      </c>
      <c r="G271" s="1"/>
      <c r="I271" s="1"/>
    </row>
    <row r="272" spans="1:9">
      <c r="A272" s="388" t="s">
        <v>841</v>
      </c>
      <c r="B272" s="388" t="s">
        <v>9135</v>
      </c>
      <c r="C272" s="1" t="s">
        <v>9136</v>
      </c>
      <c r="D272" s="8">
        <v>1752</v>
      </c>
      <c r="F272" s="388" t="s">
        <v>8809</v>
      </c>
      <c r="G272" s="1"/>
      <c r="I272" s="1"/>
    </row>
    <row r="273" spans="1:9">
      <c r="A273" s="388" t="s">
        <v>878</v>
      </c>
      <c r="B273" s="388" t="s">
        <v>8920</v>
      </c>
      <c r="C273" s="1" t="s">
        <v>9137</v>
      </c>
      <c r="D273" s="8">
        <v>5542</v>
      </c>
      <c r="F273" s="388" t="s">
        <v>8809</v>
      </c>
      <c r="G273" s="1"/>
      <c r="I273" s="1"/>
    </row>
    <row r="274" spans="1:9">
      <c r="A274" s="398">
        <v>22</v>
      </c>
      <c r="B274" s="388" t="s">
        <v>9138</v>
      </c>
      <c r="C274" s="1" t="s">
        <v>9139</v>
      </c>
      <c r="D274" s="8">
        <v>3695</v>
      </c>
      <c r="F274" s="388" t="s">
        <v>8809</v>
      </c>
      <c r="G274" s="1"/>
      <c r="I274" s="1"/>
    </row>
    <row r="275" spans="1:9">
      <c r="A275" s="398">
        <v>23</v>
      </c>
      <c r="B275" s="388" t="s">
        <v>9140</v>
      </c>
      <c r="C275" s="1" t="s">
        <v>9141</v>
      </c>
      <c r="D275" s="7">
        <v>1811</v>
      </c>
      <c r="F275" s="388" t="s">
        <v>8807</v>
      </c>
      <c r="G275" s="1"/>
      <c r="I275" s="1"/>
    </row>
    <row r="276" spans="1:9">
      <c r="D276" s="392"/>
    </row>
    <row r="277" spans="1:9">
      <c r="A277" s="388" t="s">
        <v>9098</v>
      </c>
      <c r="D277" s="391">
        <f t="shared" ref="D277" si="38">D255+D260+D270+D275</f>
        <v>10369</v>
      </c>
    </row>
    <row r="278" spans="1:9">
      <c r="A278" s="388" t="s">
        <v>8809</v>
      </c>
      <c r="D278" s="391">
        <f t="shared" ref="D278" si="39">D253+D254+SUM(D256:D259)+SUM(D261:D269)+SUM(D271:D274)</f>
        <v>77408</v>
      </c>
    </row>
    <row r="280" spans="1:9">
      <c r="A280" s="389" t="s">
        <v>9142</v>
      </c>
    </row>
  </sheetData>
  <printOptions gridLinesSet="0"/>
  <pageMargins left="0.78740157480314965" right="0" top="0.51181102362204722" bottom="0.51181102362204722" header="0.51181102362204722" footer="0.51181102362204722"/>
  <pageSetup paperSize="9" scale="70" orientation="portrait" horizontalDpi="300" verticalDpi="300" r:id="rId1"/>
  <headerFooter alignWithMargins="0">
    <oddFooter>&amp;C&amp;"Times New Roman,Regular"&amp;8&amp;P of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377"/>
  <sheetViews>
    <sheetView showGridLines="0" zoomScaleNormal="100" workbookViewId="0"/>
  </sheetViews>
  <sheetFormatPr defaultColWidth="12.59765625" defaultRowHeight="14.5"/>
  <cols>
    <col min="1" max="1" width="4.8984375" style="192" customWidth="1"/>
    <col min="2" max="2" width="43.296875" style="192" customWidth="1"/>
    <col min="3" max="3" width="11.59765625" style="192" customWidth="1"/>
    <col min="4" max="4" width="10.09765625" style="192" customWidth="1"/>
    <col min="5" max="5" width="2.296875" style="192" customWidth="1"/>
    <col min="6" max="6" width="33.09765625" style="192" customWidth="1"/>
    <col min="7" max="16384" width="12.59765625" style="192"/>
  </cols>
  <sheetData>
    <row r="1" spans="1:6">
      <c r="A1" s="833" t="s">
        <v>1075</v>
      </c>
      <c r="D1" s="191">
        <v>2016</v>
      </c>
    </row>
    <row r="3" spans="1:6">
      <c r="A3" s="833" t="s">
        <v>13741</v>
      </c>
      <c r="D3" s="834">
        <f t="shared" ref="D3" si="0">SUM(D5:D15)</f>
        <v>816524</v>
      </c>
    </row>
    <row r="4" spans="1:6">
      <c r="D4" s="835"/>
    </row>
    <row r="5" spans="1:6">
      <c r="A5" s="833" t="s">
        <v>16087</v>
      </c>
      <c r="C5" s="833"/>
      <c r="D5" s="834">
        <f t="shared" ref="D5" si="1">D64</f>
        <v>93712</v>
      </c>
      <c r="F5" s="836"/>
    </row>
    <row r="6" spans="1:6">
      <c r="A6" s="833" t="s">
        <v>16088</v>
      </c>
      <c r="C6" s="833"/>
      <c r="D6" s="834">
        <f t="shared" ref="D6" si="2">D97</f>
        <v>54801</v>
      </c>
      <c r="F6" s="836"/>
    </row>
    <row r="7" spans="1:6">
      <c r="A7" s="833" t="s">
        <v>16089</v>
      </c>
      <c r="C7" s="833"/>
      <c r="D7" s="834">
        <f t="shared" ref="D7" si="3">D119</f>
        <v>98505</v>
      </c>
      <c r="F7" s="836"/>
    </row>
    <row r="8" spans="1:6">
      <c r="A8" s="833" t="s">
        <v>16090</v>
      </c>
      <c r="C8" s="833"/>
      <c r="D8" s="834">
        <f t="shared" ref="D8" si="4">D153</f>
        <v>64797</v>
      </c>
      <c r="F8" s="836"/>
    </row>
    <row r="9" spans="1:6">
      <c r="A9" s="833" t="s">
        <v>16091</v>
      </c>
      <c r="C9" s="833"/>
      <c r="D9" s="834">
        <f t="shared" ref="D9" si="5">D184</f>
        <v>99976</v>
      </c>
      <c r="F9" s="836"/>
    </row>
    <row r="10" spans="1:6">
      <c r="A10" s="833" t="s">
        <v>16092</v>
      </c>
      <c r="C10" s="833"/>
      <c r="D10" s="834">
        <f t="shared" ref="D10" si="6">D214</f>
        <v>55472</v>
      </c>
      <c r="F10" s="836"/>
    </row>
    <row r="11" spans="1:6">
      <c r="A11" s="833" t="s">
        <v>16093</v>
      </c>
      <c r="C11" s="833"/>
      <c r="D11" s="834">
        <f t="shared" ref="D11" si="7">D238</f>
        <v>70299</v>
      </c>
      <c r="F11" s="836"/>
    </row>
    <row r="12" spans="1:6">
      <c r="A12" s="833" t="s">
        <v>16094</v>
      </c>
      <c r="C12" s="833"/>
      <c r="D12" s="834">
        <f t="shared" ref="D12" si="8">D260</f>
        <v>62634</v>
      </c>
      <c r="F12" s="836"/>
    </row>
    <row r="13" spans="1:6">
      <c r="A13" s="833" t="s">
        <v>16095</v>
      </c>
      <c r="C13" s="833"/>
      <c r="D13" s="834">
        <f t="shared" ref="D13" si="9">D286</f>
        <v>60505</v>
      </c>
      <c r="F13" s="836"/>
    </row>
    <row r="14" spans="1:6">
      <c r="A14" s="833" t="s">
        <v>16096</v>
      </c>
      <c r="C14" s="833"/>
      <c r="D14" s="834">
        <f t="shared" ref="D14" si="10">D316</f>
        <v>88240</v>
      </c>
      <c r="F14" s="836"/>
    </row>
    <row r="15" spans="1:6">
      <c r="A15" s="833" t="s">
        <v>16097</v>
      </c>
      <c r="C15" s="833"/>
      <c r="D15" s="834">
        <f t="shared" ref="D15" si="11">D355</f>
        <v>67583</v>
      </c>
      <c r="F15" s="836"/>
    </row>
    <row r="17" spans="1:6">
      <c r="A17" s="833" t="s">
        <v>16098</v>
      </c>
      <c r="D17" s="834">
        <f t="shared" ref="D17" si="12">D205</f>
        <v>16641</v>
      </c>
      <c r="F17" s="833" t="s">
        <v>16099</v>
      </c>
    </row>
    <row r="18" spans="1:6" ht="15" thickBot="1">
      <c r="D18" s="837">
        <f t="shared" ref="D18" si="13">D308</f>
        <v>60505</v>
      </c>
      <c r="F18" s="833" t="s">
        <v>13738</v>
      </c>
    </row>
    <row r="19" spans="1:6" ht="15" thickBot="1">
      <c r="D19" s="837">
        <f t="shared" ref="D19" si="14">D17+D18</f>
        <v>77146</v>
      </c>
    </row>
    <row r="20" spans="1:6">
      <c r="D20" s="835"/>
    </row>
    <row r="21" spans="1:6">
      <c r="A21" s="833" t="s">
        <v>16100</v>
      </c>
      <c r="D21" s="834">
        <f t="shared" ref="D21" si="15">D112</f>
        <v>54801</v>
      </c>
      <c r="F21" s="833" t="s">
        <v>13731</v>
      </c>
    </row>
    <row r="22" spans="1:6">
      <c r="D22" s="838">
        <f t="shared" ref="D22" si="16">D176</f>
        <v>11059</v>
      </c>
      <c r="F22" s="833" t="s">
        <v>16101</v>
      </c>
    </row>
    <row r="23" spans="1:6" ht="15" thickBot="1">
      <c r="D23" s="837">
        <f t="shared" ref="D23" si="17">D206</f>
        <v>11557</v>
      </c>
      <c r="F23" s="833" t="s">
        <v>16099</v>
      </c>
    </row>
    <row r="24" spans="1:6" ht="15" thickBot="1">
      <c r="D24" s="837">
        <f t="shared" ref="D24" si="18">SUM(D21:D23)</f>
        <v>77417</v>
      </c>
    </row>
    <row r="25" spans="1:6">
      <c r="D25" s="835"/>
    </row>
    <row r="26" spans="1:6">
      <c r="A26" s="833" t="s">
        <v>16102</v>
      </c>
      <c r="D26" s="834">
        <f t="shared" ref="D26" si="19">D88</f>
        <v>74117</v>
      </c>
      <c r="F26" s="833" t="s">
        <v>16103</v>
      </c>
    </row>
    <row r="27" spans="1:6">
      <c r="D27" s="835"/>
    </row>
    <row r="28" spans="1:6">
      <c r="A28" s="833" t="s">
        <v>16104</v>
      </c>
      <c r="D28" s="834">
        <f t="shared" ref="D28" si="20">D143</f>
        <v>60331</v>
      </c>
      <c r="F28" s="833" t="s">
        <v>16105</v>
      </c>
    </row>
    <row r="29" spans="1:6" ht="15" thickBot="1">
      <c r="D29" s="837">
        <f t="shared" ref="D29" si="21">D347</f>
        <v>13746</v>
      </c>
      <c r="F29" s="833" t="s">
        <v>16106</v>
      </c>
    </row>
    <row r="30" spans="1:6" ht="15" thickBot="1">
      <c r="D30" s="837">
        <f t="shared" ref="D30" si="22">D28+D29</f>
        <v>74077</v>
      </c>
    </row>
    <row r="31" spans="1:6">
      <c r="D31" s="835"/>
    </row>
    <row r="32" spans="1:6">
      <c r="A32" s="833" t="s">
        <v>16107</v>
      </c>
      <c r="D32" s="835">
        <f>D89</f>
        <v>4428</v>
      </c>
      <c r="F32" s="833" t="s">
        <v>16103</v>
      </c>
    </row>
    <row r="33" spans="1:6">
      <c r="D33" s="834">
        <f t="shared" ref="D33" si="23">D144</f>
        <v>15253</v>
      </c>
      <c r="F33" s="833" t="s">
        <v>16105</v>
      </c>
    </row>
    <row r="34" spans="1:6" ht="15" thickBot="1">
      <c r="D34" s="837">
        <f t="shared" ref="D34" si="24">D177</f>
        <v>53738</v>
      </c>
      <c r="F34" s="833" t="s">
        <v>16101</v>
      </c>
    </row>
    <row r="35" spans="1:6" ht="15" thickBot="1">
      <c r="D35" s="837">
        <f>SUM(D32:D34)</f>
        <v>73419</v>
      </c>
    </row>
    <row r="36" spans="1:6">
      <c r="D36" s="835"/>
    </row>
    <row r="37" spans="1:6">
      <c r="A37" s="833" t="s">
        <v>16108</v>
      </c>
      <c r="D37" s="834">
        <f t="shared" ref="D37" si="25">D207</f>
        <v>71778</v>
      </c>
      <c r="F37" s="833" t="s">
        <v>16099</v>
      </c>
    </row>
    <row r="38" spans="1:6">
      <c r="D38" s="835"/>
    </row>
    <row r="39" spans="1:6">
      <c r="A39" s="833" t="s">
        <v>16109</v>
      </c>
      <c r="D39" s="834">
        <f t="shared" ref="D39" si="26">D90</f>
        <v>15167</v>
      </c>
      <c r="F39" s="833" t="s">
        <v>16103</v>
      </c>
    </row>
    <row r="40" spans="1:6">
      <c r="D40" s="838">
        <f t="shared" ref="D40" si="27">D230</f>
        <v>51213</v>
      </c>
      <c r="F40" s="833" t="s">
        <v>16110</v>
      </c>
    </row>
    <row r="41" spans="1:6" ht="15" thickBot="1">
      <c r="D41" s="837">
        <f>D374</f>
        <v>5344</v>
      </c>
      <c r="F41" s="833" t="s">
        <v>16111</v>
      </c>
    </row>
    <row r="42" spans="1:6" ht="15" thickBot="1">
      <c r="D42" s="837">
        <f>SUM(D39:D41)</f>
        <v>71724</v>
      </c>
    </row>
    <row r="43" spans="1:6">
      <c r="D43" s="835"/>
    </row>
    <row r="44" spans="1:6">
      <c r="A44" s="833" t="s">
        <v>16112</v>
      </c>
      <c r="D44" s="834">
        <f t="shared" ref="D44" si="28">D348</f>
        <v>74494</v>
      </c>
      <c r="F44" s="833" t="s">
        <v>16106</v>
      </c>
    </row>
    <row r="45" spans="1:6">
      <c r="D45" s="835"/>
    </row>
    <row r="46" spans="1:6">
      <c r="A46" s="833" t="s">
        <v>16113</v>
      </c>
      <c r="D46" s="835">
        <f>D231</f>
        <v>4259</v>
      </c>
      <c r="F46" s="833" t="s">
        <v>16110</v>
      </c>
    </row>
    <row r="47" spans="1:6" ht="15" thickBot="1">
      <c r="D47" s="837">
        <f t="shared" ref="D47" si="29">D253</f>
        <v>70299</v>
      </c>
      <c r="F47" s="833" t="s">
        <v>13736</v>
      </c>
    </row>
    <row r="48" spans="1:6" ht="15" thickBot="1">
      <c r="A48" s="833"/>
      <c r="D48" s="839">
        <f>D46+D47</f>
        <v>74558</v>
      </c>
      <c r="F48" s="833"/>
    </row>
    <row r="49" spans="1:6">
      <c r="D49" s="835"/>
    </row>
    <row r="50" spans="1:6">
      <c r="A50" s="833" t="s">
        <v>16114</v>
      </c>
      <c r="D50" s="834">
        <f t="shared" ref="D50" si="30">D145</f>
        <v>14951</v>
      </c>
      <c r="F50" s="833" t="s">
        <v>16105</v>
      </c>
    </row>
    <row r="51" spans="1:6" ht="15" thickBot="1">
      <c r="D51" s="837">
        <f t="shared" ref="D51" si="31">D278</f>
        <v>60024</v>
      </c>
      <c r="F51" s="833" t="s">
        <v>16115</v>
      </c>
    </row>
    <row r="52" spans="1:6" ht="15" thickBot="1">
      <c r="D52" s="837">
        <f t="shared" ref="D52" si="32">D50+D51</f>
        <v>74975</v>
      </c>
    </row>
    <row r="53" spans="1:6">
      <c r="D53" s="835"/>
    </row>
    <row r="54" spans="1:6">
      <c r="A54" s="833" t="s">
        <v>16116</v>
      </c>
      <c r="D54" s="834">
        <f t="shared" ref="D54" si="33">D146</f>
        <v>7970</v>
      </c>
      <c r="F54" s="833" t="s">
        <v>16105</v>
      </c>
    </row>
    <row r="55" spans="1:6">
      <c r="A55" s="833"/>
      <c r="D55" s="834">
        <f>D279</f>
        <v>2610</v>
      </c>
      <c r="F55" s="833" t="s">
        <v>16115</v>
      </c>
    </row>
    <row r="56" spans="1:6" ht="15" thickBot="1">
      <c r="D56" s="837">
        <f t="shared" ref="D56" si="34">D375</f>
        <v>62239</v>
      </c>
      <c r="F56" s="833" t="s">
        <v>16111</v>
      </c>
    </row>
    <row r="57" spans="1:6" ht="15" thickBot="1">
      <c r="D57" s="837">
        <f>SUM(D54:D56)</f>
        <v>72819</v>
      </c>
    </row>
    <row r="58" spans="1:6">
      <c r="D58" s="835"/>
    </row>
    <row r="59" spans="1:6">
      <c r="A59" s="833" t="s">
        <v>1041</v>
      </c>
      <c r="D59" s="834">
        <f>D19+D24+D26+D30+D35+D37+D42+D44+D48+D52+D57</f>
        <v>816524</v>
      </c>
    </row>
    <row r="60" spans="1:6">
      <c r="D60" s="835"/>
    </row>
    <row r="62" spans="1:6">
      <c r="D62" s="10" t="s">
        <v>285</v>
      </c>
      <c r="E62" s="38"/>
      <c r="F62" s="5" t="s">
        <v>4116</v>
      </c>
    </row>
    <row r="63" spans="1:6">
      <c r="D63" s="191">
        <v>2016</v>
      </c>
      <c r="F63" s="41" t="s">
        <v>286</v>
      </c>
    </row>
    <row r="64" spans="1:6">
      <c r="A64" s="833" t="s">
        <v>16117</v>
      </c>
      <c r="C64" s="833"/>
      <c r="D64" s="834">
        <f t="shared" ref="D64" si="35">SUM(D65:D86)</f>
        <v>93712</v>
      </c>
    </row>
    <row r="65" spans="1:9">
      <c r="A65" s="833" t="s">
        <v>812</v>
      </c>
      <c r="B65" s="833" t="s">
        <v>16118</v>
      </c>
      <c r="C65" s="292" t="s">
        <v>16119</v>
      </c>
      <c r="D65" s="316">
        <v>5363</v>
      </c>
      <c r="F65" s="833" t="s">
        <v>16102</v>
      </c>
      <c r="G65" s="292"/>
      <c r="I65" s="292"/>
    </row>
    <row r="66" spans="1:9">
      <c r="A66" s="833" t="s">
        <v>813</v>
      </c>
      <c r="B66" s="833" t="s">
        <v>16120</v>
      </c>
      <c r="C66" s="292" t="s">
        <v>16121</v>
      </c>
      <c r="D66" s="316">
        <v>4660</v>
      </c>
      <c r="F66" s="833" t="s">
        <v>16102</v>
      </c>
      <c r="G66" s="292"/>
      <c r="I66" s="292"/>
    </row>
    <row r="67" spans="1:9">
      <c r="A67" s="833" t="s">
        <v>814</v>
      </c>
      <c r="B67" s="833" t="s">
        <v>16122</v>
      </c>
      <c r="C67" s="292" t="s">
        <v>16123</v>
      </c>
      <c r="D67" s="316">
        <v>2924</v>
      </c>
      <c r="F67" s="833" t="s">
        <v>16102</v>
      </c>
      <c r="G67" s="292"/>
      <c r="I67" s="292"/>
    </row>
    <row r="68" spans="1:9">
      <c r="A68" s="833" t="s">
        <v>815</v>
      </c>
      <c r="B68" s="833" t="s">
        <v>16124</v>
      </c>
      <c r="C68" s="292" t="s">
        <v>16125</v>
      </c>
      <c r="D68" s="316">
        <v>4797</v>
      </c>
      <c r="F68" s="833" t="s">
        <v>16102</v>
      </c>
      <c r="G68" s="292"/>
      <c r="I68" s="292"/>
    </row>
    <row r="69" spans="1:9">
      <c r="A69" s="833" t="s">
        <v>816</v>
      </c>
      <c r="B69" s="833" t="s">
        <v>16126</v>
      </c>
      <c r="C69" s="292" t="s">
        <v>16127</v>
      </c>
      <c r="D69" s="316">
        <v>4442</v>
      </c>
      <c r="F69" s="833" t="s">
        <v>16102</v>
      </c>
      <c r="G69" s="292"/>
      <c r="I69" s="292"/>
    </row>
    <row r="70" spans="1:9">
      <c r="A70" s="833" t="s">
        <v>826</v>
      </c>
      <c r="B70" s="833" t="s">
        <v>16128</v>
      </c>
      <c r="C70" s="292" t="s">
        <v>16129</v>
      </c>
      <c r="D70" s="316">
        <v>4754</v>
      </c>
      <c r="F70" s="833" t="s">
        <v>16102</v>
      </c>
      <c r="G70" s="292"/>
      <c r="I70" s="292"/>
    </row>
    <row r="71" spans="1:9">
      <c r="A71" s="833" t="s">
        <v>827</v>
      </c>
      <c r="B71" s="833" t="s">
        <v>16130</v>
      </c>
      <c r="C71" s="292" t="s">
        <v>16131</v>
      </c>
      <c r="D71" s="316">
        <v>3752</v>
      </c>
      <c r="F71" s="833" t="s">
        <v>16102</v>
      </c>
      <c r="G71" s="292"/>
      <c r="I71" s="292"/>
    </row>
    <row r="72" spans="1:9">
      <c r="A72" s="833" t="s">
        <v>828</v>
      </c>
      <c r="B72" s="833" t="s">
        <v>16132</v>
      </c>
      <c r="C72" s="292" t="s">
        <v>16133</v>
      </c>
      <c r="D72" s="316">
        <v>4578</v>
      </c>
      <c r="F72" s="833" t="s">
        <v>16102</v>
      </c>
      <c r="G72" s="292"/>
      <c r="I72" s="292"/>
    </row>
    <row r="73" spans="1:9">
      <c r="A73" s="833" t="s">
        <v>829</v>
      </c>
      <c r="B73" s="833" t="s">
        <v>16134</v>
      </c>
      <c r="C73" s="292" t="s">
        <v>16135</v>
      </c>
      <c r="D73" s="316">
        <v>4758</v>
      </c>
      <c r="F73" s="833" t="s">
        <v>16102</v>
      </c>
      <c r="G73" s="292"/>
      <c r="I73" s="292"/>
    </row>
    <row r="74" spans="1:9">
      <c r="A74" s="833" t="s">
        <v>830</v>
      </c>
      <c r="B74" s="833" t="s">
        <v>16136</v>
      </c>
      <c r="C74" s="292" t="s">
        <v>16137</v>
      </c>
      <c r="D74" s="316">
        <v>4550</v>
      </c>
      <c r="F74" s="833" t="s">
        <v>16102</v>
      </c>
      <c r="G74" s="292"/>
      <c r="I74" s="292"/>
    </row>
    <row r="75" spans="1:9">
      <c r="A75" s="833" t="s">
        <v>831</v>
      </c>
      <c r="B75" s="833" t="s">
        <v>16138</v>
      </c>
      <c r="C75" s="292" t="s">
        <v>16139</v>
      </c>
      <c r="D75" s="316">
        <v>4930</v>
      </c>
      <c r="F75" s="833" t="s">
        <v>16102</v>
      </c>
      <c r="G75" s="292"/>
      <c r="I75" s="292"/>
    </row>
    <row r="76" spans="1:9">
      <c r="A76" s="833" t="s">
        <v>832</v>
      </c>
      <c r="B76" s="833" t="s">
        <v>16140</v>
      </c>
      <c r="C76" s="292" t="s">
        <v>16141</v>
      </c>
      <c r="D76" s="316">
        <v>4694</v>
      </c>
      <c r="F76" s="833" t="s">
        <v>16109</v>
      </c>
      <c r="G76" s="292"/>
      <c r="I76" s="292"/>
    </row>
    <row r="77" spans="1:9">
      <c r="A77" s="833" t="s">
        <v>833</v>
      </c>
      <c r="B77" s="833" t="s">
        <v>16142</v>
      </c>
      <c r="C77" s="292" t="s">
        <v>16143</v>
      </c>
      <c r="D77" s="316">
        <v>4428</v>
      </c>
      <c r="F77" s="833" t="s">
        <v>16107</v>
      </c>
      <c r="G77" s="292"/>
      <c r="I77" s="292"/>
    </row>
    <row r="78" spans="1:9">
      <c r="A78" s="833" t="s">
        <v>834</v>
      </c>
      <c r="B78" s="833" t="s">
        <v>16144</v>
      </c>
      <c r="C78" s="292" t="s">
        <v>16145</v>
      </c>
      <c r="D78" s="316">
        <v>4196</v>
      </c>
      <c r="F78" s="833" t="s">
        <v>16109</v>
      </c>
      <c r="G78" s="292"/>
      <c r="I78" s="292"/>
    </row>
    <row r="79" spans="1:9">
      <c r="A79" s="833" t="s">
        <v>835</v>
      </c>
      <c r="B79" s="833" t="s">
        <v>16146</v>
      </c>
      <c r="C79" s="292" t="s">
        <v>16147</v>
      </c>
      <c r="D79" s="316">
        <v>4534</v>
      </c>
      <c r="F79" s="833" t="s">
        <v>16102</v>
      </c>
      <c r="G79" s="292"/>
      <c r="I79" s="292"/>
    </row>
    <row r="80" spans="1:9">
      <c r="A80" s="833" t="s">
        <v>836</v>
      </c>
      <c r="B80" s="833" t="s">
        <v>16148</v>
      </c>
      <c r="C80" s="292" t="s">
        <v>16149</v>
      </c>
      <c r="D80" s="316">
        <v>3041</v>
      </c>
      <c r="F80" s="833" t="s">
        <v>16102</v>
      </c>
      <c r="G80" s="292"/>
      <c r="I80" s="292"/>
    </row>
    <row r="81" spans="1:9">
      <c r="A81" s="833" t="s">
        <v>837</v>
      </c>
      <c r="B81" s="833" t="s">
        <v>16150</v>
      </c>
      <c r="C81" s="292" t="s">
        <v>16151</v>
      </c>
      <c r="D81" s="316">
        <v>4921</v>
      </c>
      <c r="F81" s="833" t="s">
        <v>16102</v>
      </c>
      <c r="G81" s="292"/>
      <c r="I81" s="292"/>
    </row>
    <row r="82" spans="1:9">
      <c r="A82" s="833" t="s">
        <v>838</v>
      </c>
      <c r="B82" s="833" t="s">
        <v>16152</v>
      </c>
      <c r="C82" s="292" t="s">
        <v>16153</v>
      </c>
      <c r="D82" s="316">
        <v>4569</v>
      </c>
      <c r="F82" s="833" t="s">
        <v>16102</v>
      </c>
      <c r="G82" s="292"/>
      <c r="I82" s="292"/>
    </row>
    <row r="83" spans="1:9">
      <c r="A83" s="833" t="s">
        <v>840</v>
      </c>
      <c r="B83" s="833" t="s">
        <v>16154</v>
      </c>
      <c r="C83" s="292" t="s">
        <v>16155</v>
      </c>
      <c r="D83" s="316">
        <v>4713</v>
      </c>
      <c r="F83" s="833" t="s">
        <v>16102</v>
      </c>
      <c r="G83" s="292"/>
      <c r="I83" s="292"/>
    </row>
    <row r="84" spans="1:9">
      <c r="A84" s="833" t="s">
        <v>841</v>
      </c>
      <c r="B84" s="833" t="s">
        <v>16156</v>
      </c>
      <c r="C84" s="292" t="s">
        <v>16157</v>
      </c>
      <c r="D84" s="316">
        <v>2831</v>
      </c>
      <c r="F84" s="833" t="s">
        <v>16102</v>
      </c>
      <c r="G84" s="292"/>
      <c r="I84" s="292"/>
    </row>
    <row r="85" spans="1:9">
      <c r="A85" s="833" t="s">
        <v>878</v>
      </c>
      <c r="B85" s="833" t="s">
        <v>16158</v>
      </c>
      <c r="C85" s="292" t="s">
        <v>16159</v>
      </c>
      <c r="D85" s="316">
        <v>3089</v>
      </c>
      <c r="F85" s="833" t="s">
        <v>16109</v>
      </c>
      <c r="G85" s="292"/>
      <c r="I85" s="292"/>
    </row>
    <row r="86" spans="1:9">
      <c r="A86" s="833" t="s">
        <v>879</v>
      </c>
      <c r="B86" s="833" t="s">
        <v>16160</v>
      </c>
      <c r="C86" s="292" t="s">
        <v>16161</v>
      </c>
      <c r="D86" s="316">
        <v>3188</v>
      </c>
      <c r="F86" s="833" t="s">
        <v>16109</v>
      </c>
      <c r="G86" s="292"/>
      <c r="I86" s="292"/>
    </row>
    <row r="87" spans="1:9">
      <c r="D87" s="835"/>
    </row>
    <row r="88" spans="1:9">
      <c r="A88" s="833" t="s">
        <v>16102</v>
      </c>
      <c r="D88" s="834">
        <f>D65+SUM(D66:D75)+SUM(D79:D84)</f>
        <v>74117</v>
      </c>
    </row>
    <row r="89" spans="1:9">
      <c r="A89" s="833" t="s">
        <v>16162</v>
      </c>
      <c r="D89" s="834">
        <f>D77</f>
        <v>4428</v>
      </c>
    </row>
    <row r="90" spans="1:9">
      <c r="A90" s="833" t="s">
        <v>16163</v>
      </c>
      <c r="D90" s="834">
        <f t="shared" ref="D90" si="36">D76+D78+D85+D86</f>
        <v>15167</v>
      </c>
    </row>
    <row r="92" spans="1:9">
      <c r="A92" s="833" t="s">
        <v>16164</v>
      </c>
    </row>
    <row r="93" spans="1:9">
      <c r="A93" s="833"/>
    </row>
    <row r="94" spans="1:9">
      <c r="A94" s="833"/>
    </row>
    <row r="95" spans="1:9">
      <c r="D95" s="10" t="s">
        <v>285</v>
      </c>
      <c r="E95" s="38"/>
      <c r="F95" s="5" t="s">
        <v>4116</v>
      </c>
    </row>
    <row r="96" spans="1:9">
      <c r="D96" s="191">
        <v>2016</v>
      </c>
      <c r="F96" s="41" t="s">
        <v>286</v>
      </c>
    </row>
    <row r="97" spans="1:9">
      <c r="A97" s="833" t="s">
        <v>16165</v>
      </c>
      <c r="D97" s="834">
        <f t="shared" ref="D97" si="37">SUM(D98:D107)+SUM(D108:D110)</f>
        <v>54801</v>
      </c>
    </row>
    <row r="98" spans="1:9">
      <c r="A98" s="833" t="s">
        <v>812</v>
      </c>
      <c r="B98" s="833" t="s">
        <v>16166</v>
      </c>
      <c r="C98" s="292" t="s">
        <v>16167</v>
      </c>
      <c r="D98" s="293">
        <v>2959</v>
      </c>
      <c r="F98" s="833" t="s">
        <v>16100</v>
      </c>
      <c r="G98" s="292"/>
      <c r="I98" s="292"/>
    </row>
    <row r="99" spans="1:9">
      <c r="A99" s="833" t="s">
        <v>813</v>
      </c>
      <c r="B99" s="833" t="s">
        <v>246</v>
      </c>
      <c r="C99" s="292" t="s">
        <v>16168</v>
      </c>
      <c r="D99" s="293">
        <v>4162</v>
      </c>
      <c r="F99" s="833" t="s">
        <v>16100</v>
      </c>
      <c r="G99" s="292"/>
      <c r="I99" s="292"/>
    </row>
    <row r="100" spans="1:9">
      <c r="A100" s="833" t="s">
        <v>814</v>
      </c>
      <c r="B100" s="833" t="s">
        <v>16169</v>
      </c>
      <c r="C100" s="292" t="s">
        <v>16170</v>
      </c>
      <c r="D100" s="293">
        <v>4567</v>
      </c>
      <c r="F100" s="833" t="s">
        <v>16100</v>
      </c>
      <c r="G100" s="292"/>
      <c r="I100" s="292"/>
    </row>
    <row r="101" spans="1:9">
      <c r="A101" s="833" t="s">
        <v>815</v>
      </c>
      <c r="B101" s="833" t="s">
        <v>16171</v>
      </c>
      <c r="C101" s="292" t="s">
        <v>16172</v>
      </c>
      <c r="D101" s="293">
        <v>4365</v>
      </c>
      <c r="F101" s="833" t="s">
        <v>16100</v>
      </c>
      <c r="G101" s="292"/>
      <c r="I101" s="292"/>
    </row>
    <row r="102" spans="1:9">
      <c r="A102" s="833" t="s">
        <v>816</v>
      </c>
      <c r="B102" s="833" t="s">
        <v>16173</v>
      </c>
      <c r="C102" s="292" t="s">
        <v>16174</v>
      </c>
      <c r="D102" s="293">
        <v>4122</v>
      </c>
      <c r="F102" s="833" t="s">
        <v>16100</v>
      </c>
      <c r="G102" s="292"/>
      <c r="I102" s="292"/>
    </row>
    <row r="103" spans="1:9">
      <c r="A103" s="833" t="s">
        <v>826</v>
      </c>
      <c r="B103" s="833" t="s">
        <v>16175</v>
      </c>
      <c r="C103" s="292" t="s">
        <v>16176</v>
      </c>
      <c r="D103" s="293">
        <v>4201</v>
      </c>
      <c r="F103" s="833" t="s">
        <v>16100</v>
      </c>
      <c r="G103" s="292"/>
      <c r="I103" s="292"/>
    </row>
    <row r="104" spans="1:9">
      <c r="A104" s="833" t="s">
        <v>827</v>
      </c>
      <c r="B104" s="833" t="s">
        <v>10387</v>
      </c>
      <c r="C104" s="292" t="s">
        <v>16177</v>
      </c>
      <c r="D104" s="293">
        <v>4302</v>
      </c>
      <c r="F104" s="833" t="s">
        <v>16100</v>
      </c>
      <c r="G104" s="292"/>
      <c r="I104" s="292"/>
    </row>
    <row r="105" spans="1:9">
      <c r="A105" s="833" t="s">
        <v>828</v>
      </c>
      <c r="B105" s="833" t="s">
        <v>16178</v>
      </c>
      <c r="C105" s="292" t="s">
        <v>16179</v>
      </c>
      <c r="D105" s="293">
        <v>4301</v>
      </c>
      <c r="F105" s="833" t="s">
        <v>16100</v>
      </c>
      <c r="G105" s="292"/>
      <c r="I105" s="292"/>
    </row>
    <row r="106" spans="1:9">
      <c r="A106" s="833" t="s">
        <v>829</v>
      </c>
      <c r="B106" s="833" t="s">
        <v>16180</v>
      </c>
      <c r="C106" s="292" t="s">
        <v>16181</v>
      </c>
      <c r="D106" s="293">
        <v>4944</v>
      </c>
      <c r="F106" s="833" t="s">
        <v>16100</v>
      </c>
      <c r="G106" s="292"/>
      <c r="I106" s="292"/>
    </row>
    <row r="107" spans="1:9">
      <c r="A107" s="833" t="s">
        <v>830</v>
      </c>
      <c r="B107" s="833" t="s">
        <v>16182</v>
      </c>
      <c r="C107" s="292" t="s">
        <v>16183</v>
      </c>
      <c r="D107" s="293">
        <v>3603</v>
      </c>
      <c r="F107" s="833" t="s">
        <v>16100</v>
      </c>
      <c r="G107" s="292"/>
      <c r="I107" s="292"/>
    </row>
    <row r="108" spans="1:9">
      <c r="A108" s="833" t="s">
        <v>831</v>
      </c>
      <c r="B108" s="833" t="s">
        <v>2865</v>
      </c>
      <c r="C108" s="292" t="s">
        <v>16184</v>
      </c>
      <c r="D108" s="293">
        <v>4468</v>
      </c>
      <c r="F108" s="833" t="s">
        <v>16100</v>
      </c>
      <c r="G108" s="292"/>
      <c r="I108" s="292"/>
    </row>
    <row r="109" spans="1:9">
      <c r="A109" s="833" t="s">
        <v>832</v>
      </c>
      <c r="B109" s="833" t="s">
        <v>16185</v>
      </c>
      <c r="C109" s="292" t="s">
        <v>16186</v>
      </c>
      <c r="D109" s="293">
        <v>4544</v>
      </c>
      <c r="F109" s="833" t="s">
        <v>16100</v>
      </c>
      <c r="G109" s="292"/>
      <c r="I109" s="292"/>
    </row>
    <row r="110" spans="1:9">
      <c r="A110" s="833" t="s">
        <v>833</v>
      </c>
      <c r="B110" s="833" t="s">
        <v>16187</v>
      </c>
      <c r="C110" s="292" t="s">
        <v>16188</v>
      </c>
      <c r="D110" s="293">
        <v>4263</v>
      </c>
      <c r="F110" s="833" t="s">
        <v>16100</v>
      </c>
      <c r="G110" s="292"/>
      <c r="I110" s="292"/>
    </row>
    <row r="111" spans="1:9">
      <c r="D111" s="835"/>
    </row>
    <row r="112" spans="1:9">
      <c r="A112" s="833" t="s">
        <v>16189</v>
      </c>
      <c r="D112" s="834">
        <f t="shared" ref="D112" si="38">SUM(D98:D107)+SUM(D108:D110)</f>
        <v>54801</v>
      </c>
    </row>
    <row r="114" spans="1:9">
      <c r="A114" s="833" t="s">
        <v>16190</v>
      </c>
    </row>
    <row r="115" spans="1:9">
      <c r="A115" s="833"/>
    </row>
    <row r="116" spans="1:9">
      <c r="A116" s="833"/>
    </row>
    <row r="117" spans="1:9">
      <c r="D117" s="10" t="s">
        <v>285</v>
      </c>
      <c r="E117" s="38"/>
      <c r="F117" s="5" t="s">
        <v>4116</v>
      </c>
    </row>
    <row r="118" spans="1:9">
      <c r="D118" s="191">
        <v>2016</v>
      </c>
      <c r="F118" s="41" t="s">
        <v>286</v>
      </c>
    </row>
    <row r="119" spans="1:9">
      <c r="A119" s="833" t="s">
        <v>16191</v>
      </c>
      <c r="D119" s="834">
        <f t="shared" ref="D119" si="39">SUM(D120:D141)</f>
        <v>98505</v>
      </c>
    </row>
    <row r="120" spans="1:9">
      <c r="A120" s="833" t="s">
        <v>812</v>
      </c>
      <c r="B120" s="833" t="s">
        <v>16192</v>
      </c>
      <c r="C120" s="292" t="s">
        <v>16193</v>
      </c>
      <c r="D120" s="316">
        <v>5958</v>
      </c>
      <c r="F120" s="833" t="s">
        <v>16114</v>
      </c>
      <c r="G120" s="292"/>
      <c r="I120" s="292"/>
    </row>
    <row r="121" spans="1:9">
      <c r="A121" s="833" t="s">
        <v>813</v>
      </c>
      <c r="B121" s="833" t="s">
        <v>16194</v>
      </c>
      <c r="C121" s="292" t="s">
        <v>16195</v>
      </c>
      <c r="D121" s="316">
        <v>4276</v>
      </c>
      <c r="F121" s="833" t="s">
        <v>16114</v>
      </c>
      <c r="G121" s="292"/>
      <c r="I121" s="292"/>
    </row>
    <row r="122" spans="1:9">
      <c r="A122" s="833" t="s">
        <v>814</v>
      </c>
      <c r="B122" s="833" t="s">
        <v>16196</v>
      </c>
      <c r="C122" s="292" t="s">
        <v>16197</v>
      </c>
      <c r="D122" s="316">
        <v>4717</v>
      </c>
      <c r="F122" s="833" t="s">
        <v>16114</v>
      </c>
      <c r="G122" s="292"/>
      <c r="I122" s="292"/>
    </row>
    <row r="123" spans="1:9">
      <c r="A123" s="833" t="s">
        <v>815</v>
      </c>
      <c r="B123" s="833" t="s">
        <v>16198</v>
      </c>
      <c r="C123" s="292" t="s">
        <v>16199</v>
      </c>
      <c r="D123" s="316">
        <v>4097</v>
      </c>
      <c r="F123" s="833" t="s">
        <v>16104</v>
      </c>
      <c r="G123" s="292"/>
      <c r="I123" s="292"/>
    </row>
    <row r="124" spans="1:9">
      <c r="A124" s="833" t="s">
        <v>816</v>
      </c>
      <c r="B124" s="833" t="s">
        <v>617</v>
      </c>
      <c r="C124" s="292" t="s">
        <v>16200</v>
      </c>
      <c r="D124" s="316">
        <v>4012</v>
      </c>
      <c r="F124" s="833" t="s">
        <v>16104</v>
      </c>
      <c r="G124" s="292"/>
      <c r="I124" s="292"/>
    </row>
    <row r="125" spans="1:9">
      <c r="A125" s="833" t="s">
        <v>826</v>
      </c>
      <c r="B125" s="833" t="s">
        <v>16201</v>
      </c>
      <c r="C125" s="292" t="s">
        <v>16202</v>
      </c>
      <c r="D125" s="316">
        <v>6886</v>
      </c>
      <c r="F125" s="833" t="s">
        <v>16107</v>
      </c>
      <c r="G125" s="292"/>
      <c r="I125" s="292"/>
    </row>
    <row r="126" spans="1:9">
      <c r="A126" s="833" t="s">
        <v>827</v>
      </c>
      <c r="B126" s="833" t="s">
        <v>16203</v>
      </c>
      <c r="C126" s="292" t="s">
        <v>16204</v>
      </c>
      <c r="D126" s="316">
        <v>2089</v>
      </c>
      <c r="F126" s="833" t="s">
        <v>16107</v>
      </c>
      <c r="G126" s="292"/>
      <c r="I126" s="292"/>
    </row>
    <row r="127" spans="1:9">
      <c r="A127" s="833" t="s">
        <v>828</v>
      </c>
      <c r="B127" s="833" t="s">
        <v>16205</v>
      </c>
      <c r="C127" s="292" t="s">
        <v>16206</v>
      </c>
      <c r="D127" s="316">
        <v>5727</v>
      </c>
      <c r="F127" s="833" t="s">
        <v>16104</v>
      </c>
      <c r="G127" s="292"/>
      <c r="I127" s="292"/>
    </row>
    <row r="128" spans="1:9">
      <c r="A128" s="833" t="s">
        <v>829</v>
      </c>
      <c r="B128" s="833" t="s">
        <v>16207</v>
      </c>
      <c r="C128" s="292" t="s">
        <v>16208</v>
      </c>
      <c r="D128" s="316">
        <v>5480</v>
      </c>
      <c r="F128" s="833" t="s">
        <v>16104</v>
      </c>
      <c r="G128" s="292"/>
      <c r="I128" s="292"/>
    </row>
    <row r="129" spans="1:9">
      <c r="A129" s="833" t="s">
        <v>830</v>
      </c>
      <c r="B129" s="833" t="s">
        <v>16209</v>
      </c>
      <c r="C129" s="292" t="s">
        <v>16210</v>
      </c>
      <c r="D129" s="316">
        <v>1884</v>
      </c>
      <c r="F129" s="833" t="s">
        <v>16107</v>
      </c>
      <c r="G129" s="292"/>
      <c r="I129" s="292"/>
    </row>
    <row r="130" spans="1:9">
      <c r="A130" s="833" t="s">
        <v>831</v>
      </c>
      <c r="B130" s="833" t="s">
        <v>16211</v>
      </c>
      <c r="C130" s="292" t="s">
        <v>16212</v>
      </c>
      <c r="D130" s="316">
        <v>5825</v>
      </c>
      <c r="F130" s="833" t="s">
        <v>16104</v>
      </c>
      <c r="G130" s="292"/>
      <c r="I130" s="292"/>
    </row>
    <row r="131" spans="1:9">
      <c r="A131" s="833" t="s">
        <v>832</v>
      </c>
      <c r="B131" s="833" t="s">
        <v>16213</v>
      </c>
      <c r="C131" s="292" t="s">
        <v>16214</v>
      </c>
      <c r="D131" s="316">
        <v>2478</v>
      </c>
      <c r="F131" s="833" t="s">
        <v>16116</v>
      </c>
      <c r="G131" s="292"/>
      <c r="I131" s="292"/>
    </row>
    <row r="132" spans="1:9">
      <c r="A132" s="833" t="s">
        <v>833</v>
      </c>
      <c r="B132" s="833" t="s">
        <v>16215</v>
      </c>
      <c r="C132" s="292" t="s">
        <v>16216</v>
      </c>
      <c r="D132" s="316">
        <v>5188</v>
      </c>
      <c r="F132" s="833" t="s">
        <v>16104</v>
      </c>
      <c r="G132" s="292"/>
      <c r="I132" s="292"/>
    </row>
    <row r="133" spans="1:9">
      <c r="A133" s="833" t="s">
        <v>834</v>
      </c>
      <c r="B133" s="833" t="s">
        <v>16217</v>
      </c>
      <c r="C133" s="292" t="s">
        <v>16218</v>
      </c>
      <c r="D133" s="316">
        <v>1980</v>
      </c>
      <c r="F133" s="833" t="s">
        <v>16104</v>
      </c>
      <c r="G133" s="292"/>
      <c r="I133" s="292"/>
    </row>
    <row r="134" spans="1:9">
      <c r="A134" s="833" t="s">
        <v>835</v>
      </c>
      <c r="B134" s="833" t="s">
        <v>16219</v>
      </c>
      <c r="C134" s="292" t="s">
        <v>16220</v>
      </c>
      <c r="D134" s="316">
        <v>2083</v>
      </c>
      <c r="F134" s="833" t="s">
        <v>16116</v>
      </c>
      <c r="G134" s="292"/>
      <c r="I134" s="292"/>
    </row>
    <row r="135" spans="1:9">
      <c r="A135" s="833" t="s">
        <v>836</v>
      </c>
      <c r="B135" s="833" t="s">
        <v>16221</v>
      </c>
      <c r="C135" s="292" t="s">
        <v>16222</v>
      </c>
      <c r="D135" s="316">
        <v>3409</v>
      </c>
      <c r="F135" s="833" t="s">
        <v>16116</v>
      </c>
      <c r="G135" s="292"/>
      <c r="I135" s="292"/>
    </row>
    <row r="136" spans="1:9">
      <c r="A136" s="833" t="s">
        <v>837</v>
      </c>
      <c r="B136" s="833" t="s">
        <v>16223</v>
      </c>
      <c r="C136" s="292" t="s">
        <v>16224</v>
      </c>
      <c r="D136" s="316">
        <v>4179</v>
      </c>
      <c r="F136" s="833" t="s">
        <v>16104</v>
      </c>
      <c r="G136" s="292"/>
      <c r="I136" s="292"/>
    </row>
    <row r="137" spans="1:9">
      <c r="A137" s="833" t="s">
        <v>838</v>
      </c>
      <c r="B137" s="833" t="s">
        <v>207</v>
      </c>
      <c r="C137" s="292" t="s">
        <v>16225</v>
      </c>
      <c r="D137" s="316">
        <v>4304</v>
      </c>
      <c r="F137" s="833" t="s">
        <v>16104</v>
      </c>
      <c r="G137" s="292"/>
      <c r="I137" s="292"/>
    </row>
    <row r="138" spans="1:9">
      <c r="A138" s="833" t="s">
        <v>840</v>
      </c>
      <c r="B138" s="833" t="s">
        <v>16226</v>
      </c>
      <c r="C138" s="292" t="s">
        <v>16227</v>
      </c>
      <c r="D138" s="316">
        <v>6790</v>
      </c>
      <c r="F138" s="833" t="s">
        <v>16104</v>
      </c>
      <c r="G138" s="292"/>
      <c r="I138" s="292"/>
    </row>
    <row r="139" spans="1:9">
      <c r="A139" s="833" t="s">
        <v>841</v>
      </c>
      <c r="B139" s="833" t="s">
        <v>16228</v>
      </c>
      <c r="C139" s="292" t="s">
        <v>16229</v>
      </c>
      <c r="D139" s="316">
        <v>4394</v>
      </c>
      <c r="F139" s="833" t="s">
        <v>16107</v>
      </c>
      <c r="G139" s="292"/>
      <c r="I139" s="292"/>
    </row>
    <row r="140" spans="1:9">
      <c r="A140" s="833" t="s">
        <v>878</v>
      </c>
      <c r="B140" s="833" t="s">
        <v>7382</v>
      </c>
      <c r="C140" s="292" t="s">
        <v>16230</v>
      </c>
      <c r="D140" s="316">
        <v>6255</v>
      </c>
      <c r="F140" s="833" t="s">
        <v>16104</v>
      </c>
      <c r="G140" s="292"/>
      <c r="I140" s="292"/>
    </row>
    <row r="141" spans="1:9">
      <c r="A141" s="840">
        <v>22</v>
      </c>
      <c r="B141" s="833" t="s">
        <v>16231</v>
      </c>
      <c r="C141" s="292" t="s">
        <v>16232</v>
      </c>
      <c r="D141" s="316">
        <v>6494</v>
      </c>
      <c r="F141" s="833" t="s">
        <v>16104</v>
      </c>
      <c r="G141" s="292"/>
      <c r="I141" s="292"/>
    </row>
    <row r="142" spans="1:9">
      <c r="D142" s="835"/>
    </row>
    <row r="143" spans="1:9">
      <c r="A143" s="833" t="s">
        <v>16233</v>
      </c>
      <c r="D143" s="834">
        <f t="shared" ref="D143" si="40">D123+D124+D127+D128+D130+D132+D133+SUM(D136:D138)+D140+D141</f>
        <v>60331</v>
      </c>
    </row>
    <row r="144" spans="1:9">
      <c r="A144" s="833" t="s">
        <v>16162</v>
      </c>
      <c r="D144" s="834">
        <f>D125+D126+D129+D139</f>
        <v>15253</v>
      </c>
    </row>
    <row r="145" spans="1:9">
      <c r="A145" s="833" t="s">
        <v>16234</v>
      </c>
      <c r="D145" s="834">
        <f t="shared" ref="D145" si="41">SUM(D120:D122)</f>
        <v>14951</v>
      </c>
    </row>
    <row r="146" spans="1:9">
      <c r="A146" s="833" t="s">
        <v>16235</v>
      </c>
      <c r="D146" s="834">
        <f>D131+D134+D135</f>
        <v>7970</v>
      </c>
    </row>
    <row r="147" spans="1:9">
      <c r="A147" s="833"/>
      <c r="B147" s="833"/>
      <c r="C147" s="833"/>
      <c r="D147" s="841"/>
    </row>
    <row r="148" spans="1:9">
      <c r="A148" s="833" t="s">
        <v>16236</v>
      </c>
      <c r="B148" s="833"/>
      <c r="C148" s="833"/>
      <c r="D148" s="841"/>
    </row>
    <row r="149" spans="1:9">
      <c r="A149" s="833"/>
      <c r="B149" s="833"/>
      <c r="C149" s="833"/>
      <c r="D149" s="841"/>
    </row>
    <row r="150" spans="1:9">
      <c r="A150" s="833"/>
      <c r="B150" s="833"/>
      <c r="C150" s="833"/>
      <c r="D150" s="841"/>
    </row>
    <row r="151" spans="1:9">
      <c r="D151" s="10" t="s">
        <v>285</v>
      </c>
      <c r="E151" s="38"/>
      <c r="F151" s="5" t="s">
        <v>4116</v>
      </c>
    </row>
    <row r="152" spans="1:9">
      <c r="D152" s="191">
        <v>2016</v>
      </c>
      <c r="F152" s="41" t="s">
        <v>286</v>
      </c>
    </row>
    <row r="153" spans="1:9">
      <c r="A153" s="833" t="s">
        <v>16237</v>
      </c>
      <c r="C153" s="833"/>
      <c r="D153" s="834">
        <f t="shared" ref="D153" si="42">SUM(D154:D174)</f>
        <v>64797</v>
      </c>
    </row>
    <row r="154" spans="1:9">
      <c r="A154" s="833" t="s">
        <v>812</v>
      </c>
      <c r="B154" s="833" t="s">
        <v>16238</v>
      </c>
      <c r="C154" s="292" t="s">
        <v>16239</v>
      </c>
      <c r="D154" s="293">
        <v>3195</v>
      </c>
      <c r="F154" s="833" t="s">
        <v>16100</v>
      </c>
      <c r="G154" s="292"/>
      <c r="I154" s="292"/>
    </row>
    <row r="155" spans="1:9" ht="15" customHeight="1">
      <c r="A155" s="833" t="s">
        <v>813</v>
      </c>
      <c r="B155" s="833" t="s">
        <v>16240</v>
      </c>
      <c r="C155" s="292" t="s">
        <v>16241</v>
      </c>
      <c r="D155" s="293">
        <v>3341</v>
      </c>
      <c r="F155" s="833" t="s">
        <v>16100</v>
      </c>
      <c r="G155" s="292"/>
      <c r="I155" s="292"/>
    </row>
    <row r="156" spans="1:9">
      <c r="A156" s="833" t="s">
        <v>814</v>
      </c>
      <c r="B156" s="833" t="s">
        <v>16242</v>
      </c>
      <c r="C156" s="292" t="s">
        <v>16243</v>
      </c>
      <c r="D156" s="293">
        <v>4523</v>
      </c>
      <c r="F156" s="833" t="s">
        <v>16100</v>
      </c>
      <c r="G156" s="292"/>
      <c r="I156" s="292"/>
    </row>
    <row r="157" spans="1:9">
      <c r="A157" s="833" t="s">
        <v>815</v>
      </c>
      <c r="B157" s="833" t="s">
        <v>16244</v>
      </c>
      <c r="C157" s="292" t="s">
        <v>16245</v>
      </c>
      <c r="D157" s="293">
        <v>1521</v>
      </c>
      <c r="F157" s="833" t="s">
        <v>16107</v>
      </c>
      <c r="G157" s="292"/>
      <c r="I157" s="292"/>
    </row>
    <row r="158" spans="1:9">
      <c r="A158" s="833" t="s">
        <v>816</v>
      </c>
      <c r="B158" s="833" t="s">
        <v>16246</v>
      </c>
      <c r="C158" s="292" t="s">
        <v>16247</v>
      </c>
      <c r="D158" s="293">
        <v>4486</v>
      </c>
      <c r="F158" s="833" t="s">
        <v>16107</v>
      </c>
      <c r="G158" s="292"/>
      <c r="I158" s="292"/>
    </row>
    <row r="159" spans="1:9">
      <c r="A159" s="833" t="s">
        <v>826</v>
      </c>
      <c r="B159" s="833" t="s">
        <v>16248</v>
      </c>
      <c r="C159" s="292" t="s">
        <v>16249</v>
      </c>
      <c r="D159" s="293">
        <v>4405</v>
      </c>
      <c r="F159" s="833" t="s">
        <v>16107</v>
      </c>
      <c r="G159" s="292"/>
      <c r="I159" s="292"/>
    </row>
    <row r="160" spans="1:9">
      <c r="A160" s="833" t="s">
        <v>827</v>
      </c>
      <c r="B160" s="833" t="s">
        <v>16250</v>
      </c>
      <c r="C160" s="292" t="s">
        <v>16251</v>
      </c>
      <c r="D160" s="293">
        <v>1706</v>
      </c>
      <c r="F160" s="833" t="s">
        <v>16107</v>
      </c>
      <c r="G160" s="292"/>
      <c r="I160" s="292"/>
    </row>
    <row r="161" spans="1:9">
      <c r="A161" s="833" t="s">
        <v>828</v>
      </c>
      <c r="B161" s="833" t="s">
        <v>16252</v>
      </c>
      <c r="C161" s="292" t="s">
        <v>16253</v>
      </c>
      <c r="D161" s="293">
        <v>3480</v>
      </c>
      <c r="F161" s="833" t="s">
        <v>16107</v>
      </c>
      <c r="G161" s="292"/>
      <c r="I161" s="292"/>
    </row>
    <row r="162" spans="1:9">
      <c r="A162" s="833" t="s">
        <v>829</v>
      </c>
      <c r="B162" s="192" t="s">
        <v>16254</v>
      </c>
      <c r="C162" s="292" t="s">
        <v>16255</v>
      </c>
      <c r="D162" s="293">
        <v>3259</v>
      </c>
      <c r="F162" s="833" t="s">
        <v>16107</v>
      </c>
      <c r="G162" s="292"/>
      <c r="I162" s="292"/>
    </row>
    <row r="163" spans="1:9">
      <c r="A163" s="833" t="s">
        <v>830</v>
      </c>
      <c r="B163" s="833" t="s">
        <v>16256</v>
      </c>
      <c r="C163" s="292" t="s">
        <v>16257</v>
      </c>
      <c r="D163" s="293">
        <v>1751</v>
      </c>
      <c r="F163" s="833" t="s">
        <v>16107</v>
      </c>
      <c r="G163" s="292"/>
      <c r="I163" s="292"/>
    </row>
    <row r="164" spans="1:9">
      <c r="A164" s="833" t="s">
        <v>831</v>
      </c>
      <c r="B164" s="833" t="s">
        <v>16258</v>
      </c>
      <c r="C164" s="292" t="s">
        <v>16259</v>
      </c>
      <c r="D164" s="293">
        <v>3123</v>
      </c>
      <c r="F164" s="833" t="s">
        <v>16107</v>
      </c>
      <c r="G164" s="292"/>
      <c r="I164" s="292"/>
    </row>
    <row r="165" spans="1:9">
      <c r="A165" s="833" t="s">
        <v>832</v>
      </c>
      <c r="B165" s="833" t="s">
        <v>16260</v>
      </c>
      <c r="C165" s="292" t="s">
        <v>16261</v>
      </c>
      <c r="D165" s="293">
        <v>5346</v>
      </c>
      <c r="F165" s="833" t="s">
        <v>16107</v>
      </c>
      <c r="G165" s="292"/>
      <c r="I165" s="292"/>
    </row>
    <row r="166" spans="1:9">
      <c r="A166" s="833" t="s">
        <v>833</v>
      </c>
      <c r="B166" s="833" t="s">
        <v>16262</v>
      </c>
      <c r="C166" s="292" t="s">
        <v>16263</v>
      </c>
      <c r="D166" s="293">
        <v>3022</v>
      </c>
      <c r="F166" s="833" t="s">
        <v>16107</v>
      </c>
      <c r="G166" s="292"/>
      <c r="I166" s="292"/>
    </row>
    <row r="167" spans="1:9">
      <c r="A167" s="833" t="s">
        <v>834</v>
      </c>
      <c r="B167" s="833" t="s">
        <v>16264</v>
      </c>
      <c r="C167" s="292" t="s">
        <v>16265</v>
      </c>
      <c r="D167" s="293">
        <v>3109</v>
      </c>
      <c r="F167" s="833" t="s">
        <v>16107</v>
      </c>
      <c r="G167" s="292"/>
      <c r="I167" s="292"/>
    </row>
    <row r="168" spans="1:9">
      <c r="A168" s="833" t="s">
        <v>835</v>
      </c>
      <c r="B168" s="833" t="s">
        <v>16266</v>
      </c>
      <c r="C168" s="292" t="s">
        <v>16267</v>
      </c>
      <c r="D168" s="293">
        <v>4677</v>
      </c>
      <c r="F168" s="833" t="s">
        <v>16107</v>
      </c>
      <c r="G168" s="292"/>
      <c r="I168" s="292"/>
    </row>
    <row r="169" spans="1:9">
      <c r="A169" s="833" t="s">
        <v>836</v>
      </c>
      <c r="B169" s="833" t="s">
        <v>16268</v>
      </c>
      <c r="C169" s="292" t="s">
        <v>16269</v>
      </c>
      <c r="D169" s="295">
        <v>4617</v>
      </c>
      <c r="F169" s="833" t="s">
        <v>16107</v>
      </c>
      <c r="G169" s="292"/>
      <c r="I169" s="292"/>
    </row>
    <row r="170" spans="1:9">
      <c r="A170" s="833" t="s">
        <v>837</v>
      </c>
      <c r="B170" s="833" t="s">
        <v>16270</v>
      </c>
      <c r="C170" s="292" t="s">
        <v>16271</v>
      </c>
      <c r="D170" s="295">
        <v>3245</v>
      </c>
      <c r="F170" s="833" t="s">
        <v>16107</v>
      </c>
      <c r="G170" s="292"/>
      <c r="I170" s="292"/>
    </row>
    <row r="171" spans="1:9">
      <c r="A171" s="833" t="s">
        <v>838</v>
      </c>
      <c r="B171" s="833" t="s">
        <v>16272</v>
      </c>
      <c r="C171" s="292" t="s">
        <v>16273</v>
      </c>
      <c r="D171" s="295">
        <v>1312</v>
      </c>
      <c r="F171" s="833" t="s">
        <v>16107</v>
      </c>
      <c r="G171" s="292"/>
      <c r="I171" s="292"/>
    </row>
    <row r="172" spans="1:9">
      <c r="A172" s="833" t="s">
        <v>840</v>
      </c>
      <c r="B172" s="833" t="s">
        <v>16274</v>
      </c>
      <c r="C172" s="292" t="s">
        <v>16275</v>
      </c>
      <c r="D172" s="295">
        <v>1488</v>
      </c>
      <c r="F172" s="833" t="s">
        <v>16107</v>
      </c>
      <c r="G172" s="292"/>
      <c r="I172" s="292"/>
    </row>
    <row r="173" spans="1:9">
      <c r="A173" s="833" t="s">
        <v>841</v>
      </c>
      <c r="B173" s="833" t="s">
        <v>16276</v>
      </c>
      <c r="C173" s="292" t="s">
        <v>16277</v>
      </c>
      <c r="D173" s="295">
        <v>1437</v>
      </c>
      <c r="F173" s="833" t="s">
        <v>16107</v>
      </c>
      <c r="G173" s="292"/>
      <c r="I173" s="292"/>
    </row>
    <row r="174" spans="1:9">
      <c r="A174" s="833" t="s">
        <v>878</v>
      </c>
      <c r="B174" s="833" t="s">
        <v>16278</v>
      </c>
      <c r="C174" s="292" t="s">
        <v>16279</v>
      </c>
      <c r="D174" s="295">
        <v>1754</v>
      </c>
      <c r="F174" s="833" t="s">
        <v>16107</v>
      </c>
      <c r="G174" s="292"/>
      <c r="I174" s="292"/>
    </row>
    <row r="175" spans="1:9">
      <c r="D175" s="835"/>
    </row>
    <row r="176" spans="1:9">
      <c r="A176" s="833" t="s">
        <v>16189</v>
      </c>
      <c r="D176" s="834">
        <f t="shared" ref="D176" si="43">D154+D155+D156</f>
        <v>11059</v>
      </c>
    </row>
    <row r="177" spans="1:9">
      <c r="A177" s="833" t="s">
        <v>16162</v>
      </c>
      <c r="D177" s="834">
        <f t="shared" ref="D177" si="44">SUM(D157:D174)</f>
        <v>53738</v>
      </c>
    </row>
    <row r="179" spans="1:9">
      <c r="A179" s="833" t="s">
        <v>16280</v>
      </c>
    </row>
    <row r="180" spans="1:9">
      <c r="A180" s="833"/>
    </row>
    <row r="181" spans="1:9">
      <c r="A181" s="833"/>
    </row>
    <row r="182" spans="1:9">
      <c r="D182" s="10" t="s">
        <v>285</v>
      </c>
      <c r="E182" s="38"/>
      <c r="F182" s="5" t="s">
        <v>4116</v>
      </c>
    </row>
    <row r="183" spans="1:9">
      <c r="D183" s="191">
        <v>2016</v>
      </c>
      <c r="F183" s="41" t="s">
        <v>286</v>
      </c>
    </row>
    <row r="184" spans="1:9">
      <c r="A184" s="833" t="s">
        <v>16281</v>
      </c>
      <c r="C184" s="833"/>
      <c r="D184" s="834">
        <f t="shared" ref="D184" si="45">SUM(D185:D203)</f>
        <v>99976</v>
      </c>
    </row>
    <row r="185" spans="1:9">
      <c r="A185" s="833" t="s">
        <v>812</v>
      </c>
      <c r="B185" s="833" t="s">
        <v>16282</v>
      </c>
      <c r="C185" s="292" t="s">
        <v>16283</v>
      </c>
      <c r="D185" s="293">
        <v>6119</v>
      </c>
      <c r="F185" s="833" t="s">
        <v>16108</v>
      </c>
      <c r="G185" s="292"/>
      <c r="I185" s="292"/>
    </row>
    <row r="186" spans="1:9">
      <c r="A186" s="833" t="s">
        <v>813</v>
      </c>
      <c r="B186" s="833" t="s">
        <v>16284</v>
      </c>
      <c r="C186" s="292" t="s">
        <v>16285</v>
      </c>
      <c r="D186" s="293">
        <v>6528</v>
      </c>
      <c r="F186" s="833" t="s">
        <v>16108</v>
      </c>
      <c r="G186" s="292"/>
      <c r="I186" s="292"/>
    </row>
    <row r="187" spans="1:9">
      <c r="A187" s="833" t="s">
        <v>814</v>
      </c>
      <c r="B187" s="833" t="s">
        <v>16286</v>
      </c>
      <c r="C187" s="292" t="s">
        <v>16287</v>
      </c>
      <c r="D187" s="293">
        <v>6255</v>
      </c>
      <c r="F187" s="833" t="s">
        <v>16108</v>
      </c>
      <c r="G187" s="292"/>
      <c r="I187" s="292"/>
    </row>
    <row r="188" spans="1:9">
      <c r="A188" s="833" t="s">
        <v>815</v>
      </c>
      <c r="B188" s="833" t="s">
        <v>16288</v>
      </c>
      <c r="C188" s="292" t="s">
        <v>16289</v>
      </c>
      <c r="D188" s="293">
        <v>5851</v>
      </c>
      <c r="F188" s="833" t="s">
        <v>16098</v>
      </c>
      <c r="G188" s="292"/>
      <c r="I188" s="292"/>
    </row>
    <row r="189" spans="1:9">
      <c r="A189" s="833" t="s">
        <v>816</v>
      </c>
      <c r="B189" s="833" t="s">
        <v>16290</v>
      </c>
      <c r="C189" s="292" t="s">
        <v>16291</v>
      </c>
      <c r="D189" s="293">
        <v>5145</v>
      </c>
      <c r="F189" s="833" t="s">
        <v>16098</v>
      </c>
      <c r="G189" s="292"/>
      <c r="I189" s="292"/>
    </row>
    <row r="190" spans="1:9">
      <c r="A190" s="833" t="s">
        <v>826</v>
      </c>
      <c r="B190" s="833" t="s">
        <v>16292</v>
      </c>
      <c r="C190" s="292" t="s">
        <v>16293</v>
      </c>
      <c r="D190" s="293">
        <v>5645</v>
      </c>
      <c r="F190" s="833" t="s">
        <v>16098</v>
      </c>
      <c r="G190" s="292"/>
      <c r="I190" s="292"/>
    </row>
    <row r="191" spans="1:9">
      <c r="A191" s="833" t="s">
        <v>827</v>
      </c>
      <c r="B191" s="833" t="s">
        <v>16294</v>
      </c>
      <c r="C191" s="292" t="s">
        <v>16295</v>
      </c>
      <c r="D191" s="293">
        <v>5489</v>
      </c>
      <c r="F191" s="833" t="s">
        <v>16108</v>
      </c>
      <c r="G191" s="292"/>
      <c r="I191" s="292"/>
    </row>
    <row r="192" spans="1:9">
      <c r="A192" s="833" t="s">
        <v>828</v>
      </c>
      <c r="B192" s="833" t="s">
        <v>16296</v>
      </c>
      <c r="C192" s="292" t="s">
        <v>16297</v>
      </c>
      <c r="D192" s="293">
        <v>5520</v>
      </c>
      <c r="F192" s="833" t="s">
        <v>16108</v>
      </c>
      <c r="G192" s="292"/>
      <c r="I192" s="292"/>
    </row>
    <row r="193" spans="1:9">
      <c r="A193" s="833" t="s">
        <v>829</v>
      </c>
      <c r="B193" s="833" t="s">
        <v>16298</v>
      </c>
      <c r="C193" s="292" t="s">
        <v>16299</v>
      </c>
      <c r="D193" s="293">
        <v>5483</v>
      </c>
      <c r="F193" s="833" t="s">
        <v>16108</v>
      </c>
      <c r="G193" s="292"/>
      <c r="I193" s="292"/>
    </row>
    <row r="194" spans="1:9">
      <c r="A194" s="833" t="s">
        <v>830</v>
      </c>
      <c r="B194" s="833" t="s">
        <v>16300</v>
      </c>
      <c r="C194" s="292" t="s">
        <v>16301</v>
      </c>
      <c r="D194" s="293">
        <v>6035</v>
      </c>
      <c r="F194" s="833" t="s">
        <v>16100</v>
      </c>
      <c r="G194" s="292"/>
      <c r="I194" s="292"/>
    </row>
    <row r="195" spans="1:9">
      <c r="A195" s="833" t="s">
        <v>831</v>
      </c>
      <c r="B195" s="833" t="s">
        <v>625</v>
      </c>
      <c r="C195" s="292" t="s">
        <v>16302</v>
      </c>
      <c r="D195" s="293">
        <v>1874</v>
      </c>
      <c r="F195" s="833" t="s">
        <v>16108</v>
      </c>
      <c r="G195" s="292"/>
      <c r="I195" s="292"/>
    </row>
    <row r="196" spans="1:9">
      <c r="A196" s="833" t="s">
        <v>832</v>
      </c>
      <c r="B196" s="833" t="s">
        <v>16303</v>
      </c>
      <c r="C196" s="292" t="s">
        <v>16304</v>
      </c>
      <c r="D196" s="293">
        <v>6869</v>
      </c>
      <c r="F196" s="833" t="s">
        <v>16108</v>
      </c>
      <c r="G196" s="292"/>
      <c r="I196" s="292"/>
    </row>
    <row r="197" spans="1:9">
      <c r="A197" s="833" t="s">
        <v>833</v>
      </c>
      <c r="B197" s="833" t="s">
        <v>16305</v>
      </c>
      <c r="C197" s="292" t="s">
        <v>16306</v>
      </c>
      <c r="D197" s="293">
        <v>5666</v>
      </c>
      <c r="F197" s="833" t="s">
        <v>16108</v>
      </c>
      <c r="G197" s="292"/>
      <c r="I197" s="292"/>
    </row>
    <row r="198" spans="1:9">
      <c r="A198" s="833" t="s">
        <v>834</v>
      </c>
      <c r="B198" s="833" t="s">
        <v>16307</v>
      </c>
      <c r="C198" s="292" t="s">
        <v>16308</v>
      </c>
      <c r="D198" s="293">
        <v>5195</v>
      </c>
      <c r="F198" s="833" t="s">
        <v>16108</v>
      </c>
      <c r="G198" s="292"/>
      <c r="I198" s="292"/>
    </row>
    <row r="199" spans="1:9">
      <c r="A199" s="833" t="s">
        <v>835</v>
      </c>
      <c r="B199" s="833" t="s">
        <v>16309</v>
      </c>
      <c r="C199" s="292" t="s">
        <v>16310</v>
      </c>
      <c r="D199" s="295">
        <v>4130</v>
      </c>
      <c r="F199" s="833" t="s">
        <v>16108</v>
      </c>
      <c r="G199" s="292"/>
      <c r="I199" s="292"/>
    </row>
    <row r="200" spans="1:9">
      <c r="A200" s="833" t="s">
        <v>836</v>
      </c>
      <c r="B200" s="833" t="s">
        <v>16311</v>
      </c>
      <c r="C200" s="292" t="s">
        <v>16312</v>
      </c>
      <c r="D200" s="295">
        <v>2045</v>
      </c>
      <c r="F200" s="833" t="s">
        <v>16108</v>
      </c>
      <c r="G200" s="292"/>
      <c r="I200" s="292"/>
    </row>
    <row r="201" spans="1:9">
      <c r="A201" s="833" t="s">
        <v>837</v>
      </c>
      <c r="B201" s="833" t="s">
        <v>16313</v>
      </c>
      <c r="C201" s="292" t="s">
        <v>16314</v>
      </c>
      <c r="D201" s="295">
        <v>5192</v>
      </c>
      <c r="F201" s="833" t="s">
        <v>16108</v>
      </c>
      <c r="G201" s="292"/>
      <c r="I201" s="292"/>
    </row>
    <row r="202" spans="1:9">
      <c r="A202" s="833" t="s">
        <v>838</v>
      </c>
      <c r="B202" s="833" t="s">
        <v>16315</v>
      </c>
      <c r="C202" s="292" t="s">
        <v>16316</v>
      </c>
      <c r="D202" s="295">
        <v>5413</v>
      </c>
      <c r="F202" s="833" t="s">
        <v>16108</v>
      </c>
      <c r="G202" s="292"/>
      <c r="I202" s="292"/>
    </row>
    <row r="203" spans="1:9">
      <c r="A203" s="840">
        <v>19</v>
      </c>
      <c r="B203" s="833" t="s">
        <v>16317</v>
      </c>
      <c r="C203" s="292" t="s">
        <v>16318</v>
      </c>
      <c r="D203" s="293">
        <v>5522</v>
      </c>
      <c r="F203" s="833" t="s">
        <v>16100</v>
      </c>
      <c r="G203" s="292"/>
      <c r="I203" s="292"/>
    </row>
    <row r="204" spans="1:9">
      <c r="D204" s="835"/>
    </row>
    <row r="205" spans="1:9">
      <c r="A205" s="833" t="s">
        <v>16319</v>
      </c>
      <c r="D205" s="834">
        <f t="shared" ref="D205" si="46">SUM(D188:D190)</f>
        <v>16641</v>
      </c>
    </row>
    <row r="206" spans="1:9">
      <c r="A206" s="833" t="s">
        <v>16189</v>
      </c>
      <c r="D206" s="834">
        <f t="shared" ref="D206" si="47">D194+D203</f>
        <v>11557</v>
      </c>
    </row>
    <row r="207" spans="1:9">
      <c r="A207" s="833" t="s">
        <v>16108</v>
      </c>
      <c r="D207" s="834">
        <f t="shared" ref="D207" si="48">SUM(D185:D187)+SUM(D191:D193)+SUM(D195:D202)</f>
        <v>71778</v>
      </c>
    </row>
    <row r="208" spans="1:9">
      <c r="A208" s="833"/>
      <c r="B208" s="833"/>
      <c r="D208" s="834"/>
    </row>
    <row r="209" spans="1:9">
      <c r="A209" s="833" t="s">
        <v>16320</v>
      </c>
      <c r="B209" s="833"/>
      <c r="D209" s="834"/>
    </row>
    <row r="210" spans="1:9">
      <c r="A210" s="833"/>
      <c r="B210" s="833"/>
      <c r="D210" s="841"/>
    </row>
    <row r="211" spans="1:9">
      <c r="A211" s="833"/>
      <c r="B211" s="833"/>
      <c r="D211" s="841"/>
    </row>
    <row r="212" spans="1:9">
      <c r="D212" s="10" t="s">
        <v>285</v>
      </c>
      <c r="E212" s="38"/>
      <c r="F212" s="5" t="s">
        <v>4116</v>
      </c>
    </row>
    <row r="213" spans="1:9">
      <c r="D213" s="191">
        <v>2016</v>
      </c>
      <c r="F213" s="41" t="s">
        <v>286</v>
      </c>
    </row>
    <row r="214" spans="1:9">
      <c r="A214" s="833" t="s">
        <v>16321</v>
      </c>
      <c r="D214" s="834">
        <f t="shared" ref="D214" si="49">SUM(D215:D228)</f>
        <v>55472</v>
      </c>
    </row>
    <row r="215" spans="1:9">
      <c r="A215" s="833" t="s">
        <v>812</v>
      </c>
      <c r="B215" s="833" t="s">
        <v>16322</v>
      </c>
      <c r="C215" s="292" t="s">
        <v>16323</v>
      </c>
      <c r="D215" s="293">
        <v>4005</v>
      </c>
      <c r="F215" s="833" t="s">
        <v>16109</v>
      </c>
      <c r="G215" s="292"/>
      <c r="I215" s="292"/>
    </row>
    <row r="216" spans="1:9">
      <c r="A216" s="833" t="s">
        <v>813</v>
      </c>
      <c r="B216" s="833" t="s">
        <v>16324</v>
      </c>
      <c r="C216" s="292" t="s">
        <v>16325</v>
      </c>
      <c r="D216" s="293">
        <v>4226</v>
      </c>
      <c r="F216" s="833" t="s">
        <v>16109</v>
      </c>
      <c r="G216" s="292"/>
      <c r="I216" s="292"/>
    </row>
    <row r="217" spans="1:9">
      <c r="A217" s="833" t="s">
        <v>814</v>
      </c>
      <c r="B217" s="833" t="s">
        <v>16326</v>
      </c>
      <c r="C217" s="292" t="s">
        <v>16327</v>
      </c>
      <c r="D217" s="293">
        <v>4227</v>
      </c>
      <c r="F217" s="833" t="s">
        <v>16109</v>
      </c>
      <c r="G217" s="292"/>
      <c r="I217" s="292"/>
    </row>
    <row r="218" spans="1:9">
      <c r="A218" s="833" t="s">
        <v>815</v>
      </c>
      <c r="B218" s="833" t="s">
        <v>16328</v>
      </c>
      <c r="C218" s="292" t="s">
        <v>16329</v>
      </c>
      <c r="D218" s="293">
        <v>4259</v>
      </c>
      <c r="F218" s="833" t="s">
        <v>16113</v>
      </c>
      <c r="G218" s="292"/>
      <c r="I218" s="292"/>
    </row>
    <row r="219" spans="1:9">
      <c r="A219" s="833" t="s">
        <v>816</v>
      </c>
      <c r="B219" s="833" t="s">
        <v>16330</v>
      </c>
      <c r="C219" s="292" t="s">
        <v>16331</v>
      </c>
      <c r="D219" s="293">
        <v>4638</v>
      </c>
      <c r="F219" s="833" t="s">
        <v>16109</v>
      </c>
      <c r="G219" s="292"/>
      <c r="I219" s="292"/>
    </row>
    <row r="220" spans="1:9">
      <c r="A220" s="833" t="s">
        <v>826</v>
      </c>
      <c r="B220" s="833" t="s">
        <v>16332</v>
      </c>
      <c r="C220" s="292" t="s">
        <v>16333</v>
      </c>
      <c r="D220" s="293">
        <v>4510</v>
      </c>
      <c r="F220" s="833" t="s">
        <v>16109</v>
      </c>
      <c r="G220" s="292"/>
      <c r="I220" s="292"/>
    </row>
    <row r="221" spans="1:9">
      <c r="A221" s="833" t="s">
        <v>827</v>
      </c>
      <c r="B221" s="192" t="s">
        <v>16334</v>
      </c>
      <c r="C221" s="292" t="s">
        <v>16335</v>
      </c>
      <c r="D221" s="293">
        <v>3912</v>
      </c>
      <c r="F221" s="833" t="s">
        <v>16109</v>
      </c>
      <c r="G221" s="292"/>
      <c r="I221" s="292"/>
    </row>
    <row r="222" spans="1:9">
      <c r="A222" s="833" t="s">
        <v>828</v>
      </c>
      <c r="B222" s="833" t="s">
        <v>16336</v>
      </c>
      <c r="C222" s="292" t="s">
        <v>16337</v>
      </c>
      <c r="D222" s="293">
        <v>2146</v>
      </c>
      <c r="F222" s="833" t="s">
        <v>16109</v>
      </c>
      <c r="G222" s="292"/>
      <c r="I222" s="292"/>
    </row>
    <row r="223" spans="1:9">
      <c r="A223" s="833" t="s">
        <v>829</v>
      </c>
      <c r="B223" s="833" t="s">
        <v>16338</v>
      </c>
      <c r="C223" s="292" t="s">
        <v>16339</v>
      </c>
      <c r="D223" s="293">
        <v>3142</v>
      </c>
      <c r="F223" s="833" t="s">
        <v>16109</v>
      </c>
      <c r="G223" s="292"/>
      <c r="I223" s="292"/>
    </row>
    <row r="224" spans="1:9">
      <c r="A224" s="833" t="s">
        <v>830</v>
      </c>
      <c r="B224" s="833" t="s">
        <v>16340</v>
      </c>
      <c r="C224" s="292" t="s">
        <v>16341</v>
      </c>
      <c r="D224" s="293">
        <v>3995</v>
      </c>
      <c r="F224" s="833" t="s">
        <v>16109</v>
      </c>
      <c r="G224" s="292"/>
      <c r="I224" s="292"/>
    </row>
    <row r="225" spans="1:9">
      <c r="A225" s="833" t="s">
        <v>831</v>
      </c>
      <c r="B225" s="833" t="s">
        <v>16342</v>
      </c>
      <c r="C225" s="292" t="s">
        <v>16343</v>
      </c>
      <c r="D225" s="293">
        <v>4211</v>
      </c>
      <c r="F225" s="833" t="s">
        <v>16109</v>
      </c>
      <c r="G225" s="292"/>
      <c r="I225" s="292"/>
    </row>
    <row r="226" spans="1:9">
      <c r="A226" s="833" t="s">
        <v>832</v>
      </c>
      <c r="B226" s="833" t="s">
        <v>7379</v>
      </c>
      <c r="C226" s="292" t="s">
        <v>16344</v>
      </c>
      <c r="D226" s="293">
        <v>4119</v>
      </c>
      <c r="F226" s="833" t="s">
        <v>16109</v>
      </c>
      <c r="G226" s="292"/>
      <c r="I226" s="292"/>
    </row>
    <row r="227" spans="1:9">
      <c r="A227" s="833" t="s">
        <v>833</v>
      </c>
      <c r="B227" s="833" t="s">
        <v>16345</v>
      </c>
      <c r="C227" s="292" t="s">
        <v>16346</v>
      </c>
      <c r="D227" s="293">
        <v>3936</v>
      </c>
      <c r="F227" s="833" t="s">
        <v>16109</v>
      </c>
      <c r="G227" s="292"/>
      <c r="I227" s="292"/>
    </row>
    <row r="228" spans="1:9">
      <c r="A228" s="833" t="s">
        <v>834</v>
      </c>
      <c r="B228" s="833" t="s">
        <v>16347</v>
      </c>
      <c r="C228" s="292" t="s">
        <v>16348</v>
      </c>
      <c r="D228" s="293">
        <v>4146</v>
      </c>
      <c r="F228" s="833" t="s">
        <v>16109</v>
      </c>
      <c r="G228" s="292"/>
      <c r="I228" s="292"/>
    </row>
    <row r="229" spans="1:9">
      <c r="D229" s="835"/>
    </row>
    <row r="230" spans="1:9">
      <c r="A230" s="833" t="s">
        <v>16349</v>
      </c>
      <c r="D230" s="834">
        <f>SUM(D215:D217)+SUM(D219:D228)</f>
        <v>51213</v>
      </c>
    </row>
    <row r="231" spans="1:9">
      <c r="A231" s="833" t="s">
        <v>16350</v>
      </c>
      <c r="D231" s="834">
        <f>D218</f>
        <v>4259</v>
      </c>
    </row>
    <row r="232" spans="1:9">
      <c r="A232" s="833"/>
      <c r="B232" s="833"/>
    </row>
    <row r="233" spans="1:9">
      <c r="A233" s="833" t="s">
        <v>16351</v>
      </c>
      <c r="B233" s="833"/>
    </row>
    <row r="234" spans="1:9">
      <c r="A234" s="833"/>
      <c r="B234" s="833"/>
    </row>
    <row r="235" spans="1:9">
      <c r="A235" s="833"/>
      <c r="B235" s="833"/>
    </row>
    <row r="236" spans="1:9">
      <c r="D236" s="10" t="s">
        <v>285</v>
      </c>
      <c r="E236" s="38"/>
      <c r="F236" s="5" t="s">
        <v>4116</v>
      </c>
    </row>
    <row r="237" spans="1:9">
      <c r="D237" s="191">
        <v>2016</v>
      </c>
      <c r="F237" s="41" t="s">
        <v>286</v>
      </c>
    </row>
    <row r="238" spans="1:9">
      <c r="A238" s="833" t="s">
        <v>16352</v>
      </c>
      <c r="D238" s="834">
        <f t="shared" ref="D238" si="50">SUM(D239:D251)</f>
        <v>70299</v>
      </c>
    </row>
    <row r="239" spans="1:9">
      <c r="A239" s="833" t="s">
        <v>812</v>
      </c>
      <c r="B239" s="833" t="s">
        <v>16353</v>
      </c>
      <c r="C239" s="292" t="s">
        <v>16354</v>
      </c>
      <c r="D239" s="316">
        <v>6049</v>
      </c>
      <c r="F239" s="833" t="s">
        <v>16113</v>
      </c>
      <c r="G239" s="292"/>
      <c r="I239" s="292"/>
    </row>
    <row r="240" spans="1:9">
      <c r="A240" s="833" t="s">
        <v>813</v>
      </c>
      <c r="B240" s="833" t="s">
        <v>16355</v>
      </c>
      <c r="C240" s="292" t="s">
        <v>16356</v>
      </c>
      <c r="D240" s="316">
        <v>5619</v>
      </c>
      <c r="F240" s="833" t="s">
        <v>16113</v>
      </c>
      <c r="G240" s="292"/>
      <c r="I240" s="292"/>
    </row>
    <row r="241" spans="1:9">
      <c r="A241" s="833" t="s">
        <v>814</v>
      </c>
      <c r="B241" s="833" t="s">
        <v>16357</v>
      </c>
      <c r="C241" s="292" t="s">
        <v>16358</v>
      </c>
      <c r="D241" s="316">
        <v>5814</v>
      </c>
      <c r="F241" s="833" t="s">
        <v>16113</v>
      </c>
      <c r="G241" s="292"/>
      <c r="I241" s="292"/>
    </row>
    <row r="242" spans="1:9">
      <c r="A242" s="833" t="s">
        <v>815</v>
      </c>
      <c r="B242" s="833" t="s">
        <v>16359</v>
      </c>
      <c r="C242" s="292" t="s">
        <v>16360</v>
      </c>
      <c r="D242" s="316">
        <v>5265</v>
      </c>
      <c r="F242" s="833" t="s">
        <v>16113</v>
      </c>
      <c r="G242" s="292"/>
      <c r="I242" s="292"/>
    </row>
    <row r="243" spans="1:9">
      <c r="A243" s="833" t="s">
        <v>816</v>
      </c>
      <c r="B243" s="833" t="s">
        <v>16361</v>
      </c>
      <c r="C243" s="292" t="s">
        <v>16362</v>
      </c>
      <c r="D243" s="316">
        <v>4679</v>
      </c>
      <c r="F243" s="833" t="s">
        <v>16113</v>
      </c>
      <c r="G243" s="292"/>
      <c r="I243" s="292"/>
    </row>
    <row r="244" spans="1:9">
      <c r="A244" s="833" t="s">
        <v>826</v>
      </c>
      <c r="B244" s="833" t="s">
        <v>16363</v>
      </c>
      <c r="C244" s="292" t="s">
        <v>16364</v>
      </c>
      <c r="D244" s="316">
        <v>5900</v>
      </c>
      <c r="F244" s="833" t="s">
        <v>16113</v>
      </c>
      <c r="G244" s="292"/>
      <c r="I244" s="292"/>
    </row>
    <row r="245" spans="1:9">
      <c r="A245" s="833" t="s">
        <v>827</v>
      </c>
      <c r="B245" s="192" t="s">
        <v>16365</v>
      </c>
      <c r="C245" s="292" t="s">
        <v>16366</v>
      </c>
      <c r="D245" s="316">
        <v>5170</v>
      </c>
      <c r="F245" s="833" t="s">
        <v>16113</v>
      </c>
      <c r="G245" s="292"/>
      <c r="I245" s="292"/>
    </row>
    <row r="246" spans="1:9">
      <c r="A246" s="833" t="s">
        <v>828</v>
      </c>
      <c r="B246" s="833" t="s">
        <v>16367</v>
      </c>
      <c r="C246" s="292" t="s">
        <v>16368</v>
      </c>
      <c r="D246" s="316">
        <v>5243</v>
      </c>
      <c r="F246" s="833" t="s">
        <v>16113</v>
      </c>
      <c r="G246" s="292"/>
      <c r="I246" s="292"/>
    </row>
    <row r="247" spans="1:9">
      <c r="A247" s="833" t="s">
        <v>829</v>
      </c>
      <c r="B247" s="833" t="s">
        <v>16369</v>
      </c>
      <c r="C247" s="292" t="s">
        <v>16370</v>
      </c>
      <c r="D247" s="316">
        <v>5430</v>
      </c>
      <c r="F247" s="833" t="s">
        <v>16113</v>
      </c>
      <c r="G247" s="292"/>
      <c r="I247" s="292"/>
    </row>
    <row r="248" spans="1:9">
      <c r="A248" s="833" t="s">
        <v>830</v>
      </c>
      <c r="B248" s="833" t="s">
        <v>16371</v>
      </c>
      <c r="C248" s="292" t="s">
        <v>16372</v>
      </c>
      <c r="D248" s="316">
        <v>5145</v>
      </c>
      <c r="F248" s="833" t="s">
        <v>16113</v>
      </c>
      <c r="G248" s="292"/>
      <c r="I248" s="292"/>
    </row>
    <row r="249" spans="1:9">
      <c r="A249" s="833" t="s">
        <v>831</v>
      </c>
      <c r="B249" s="833" t="s">
        <v>16373</v>
      </c>
      <c r="C249" s="292" t="s">
        <v>16374</v>
      </c>
      <c r="D249" s="316">
        <v>5356</v>
      </c>
      <c r="F249" s="833" t="s">
        <v>16113</v>
      </c>
      <c r="G249" s="292"/>
      <c r="I249" s="292"/>
    </row>
    <row r="250" spans="1:9">
      <c r="A250" s="833" t="s">
        <v>832</v>
      </c>
      <c r="B250" s="833" t="s">
        <v>16375</v>
      </c>
      <c r="C250" s="292" t="s">
        <v>16376</v>
      </c>
      <c r="D250" s="316">
        <v>5470</v>
      </c>
      <c r="F250" s="833" t="s">
        <v>16113</v>
      </c>
      <c r="G250" s="292"/>
      <c r="I250" s="292"/>
    </row>
    <row r="251" spans="1:9">
      <c r="A251" s="833" t="s">
        <v>833</v>
      </c>
      <c r="B251" s="833" t="s">
        <v>16377</v>
      </c>
      <c r="C251" s="292" t="s">
        <v>16378</v>
      </c>
      <c r="D251" s="316">
        <v>5159</v>
      </c>
      <c r="F251" s="833" t="s">
        <v>16113</v>
      </c>
      <c r="G251" s="292"/>
      <c r="I251" s="292"/>
    </row>
    <row r="252" spans="1:9">
      <c r="D252" s="835"/>
    </row>
    <row r="253" spans="1:9">
      <c r="A253" s="833" t="s">
        <v>16350</v>
      </c>
      <c r="D253" s="834">
        <f t="shared" ref="D253" si="51">SUM(D239:D245)+D246+SUM(D247:D251)</f>
        <v>70299</v>
      </c>
    </row>
    <row r="255" spans="1:9">
      <c r="A255" s="833" t="s">
        <v>16379</v>
      </c>
    </row>
    <row r="258" spans="1:9">
      <c r="D258" s="10" t="s">
        <v>285</v>
      </c>
      <c r="E258" s="38"/>
      <c r="F258" s="5" t="s">
        <v>4116</v>
      </c>
    </row>
    <row r="259" spans="1:9">
      <c r="D259" s="191">
        <v>2016</v>
      </c>
      <c r="F259" s="41" t="s">
        <v>286</v>
      </c>
    </row>
    <row r="260" spans="1:9">
      <c r="A260" s="833" t="s">
        <v>16380</v>
      </c>
      <c r="D260" s="834">
        <f t="shared" ref="D260" si="52">SUM(D261:D276)</f>
        <v>62634</v>
      </c>
    </row>
    <row r="261" spans="1:9">
      <c r="A261" s="833" t="s">
        <v>812</v>
      </c>
      <c r="B261" s="833" t="s">
        <v>16381</v>
      </c>
      <c r="C261" s="292" t="s">
        <v>16382</v>
      </c>
      <c r="D261" s="293">
        <v>4411</v>
      </c>
      <c r="F261" s="833" t="s">
        <v>16114</v>
      </c>
      <c r="G261" s="292"/>
      <c r="I261" s="292"/>
    </row>
    <row r="262" spans="1:9">
      <c r="A262" s="833" t="s">
        <v>813</v>
      </c>
      <c r="B262" s="833" t="s">
        <v>528</v>
      </c>
      <c r="C262" s="292" t="s">
        <v>16383</v>
      </c>
      <c r="D262" s="293">
        <v>2610</v>
      </c>
      <c r="F262" s="833" t="s">
        <v>16116</v>
      </c>
      <c r="G262" s="292"/>
      <c r="I262" s="292"/>
    </row>
    <row r="263" spans="1:9">
      <c r="A263" s="833" t="s">
        <v>814</v>
      </c>
      <c r="B263" s="833" t="s">
        <v>16384</v>
      </c>
      <c r="C263" s="292" t="s">
        <v>16385</v>
      </c>
      <c r="D263" s="293">
        <v>2895</v>
      </c>
      <c r="F263" s="833" t="s">
        <v>16114</v>
      </c>
      <c r="G263" s="292"/>
      <c r="I263" s="292"/>
    </row>
    <row r="264" spans="1:9">
      <c r="A264" s="833" t="s">
        <v>815</v>
      </c>
      <c r="B264" s="833" t="s">
        <v>16386</v>
      </c>
      <c r="C264" s="292" t="s">
        <v>16387</v>
      </c>
      <c r="D264" s="293">
        <v>4444</v>
      </c>
      <c r="F264" s="833" t="s">
        <v>16114</v>
      </c>
      <c r="G264" s="292"/>
      <c r="I264" s="292"/>
    </row>
    <row r="265" spans="1:9">
      <c r="A265" s="833" t="s">
        <v>816</v>
      </c>
      <c r="B265" s="833" t="s">
        <v>16388</v>
      </c>
      <c r="C265" s="292" t="s">
        <v>16389</v>
      </c>
      <c r="D265" s="293">
        <v>4249</v>
      </c>
      <c r="F265" s="833" t="s">
        <v>16114</v>
      </c>
      <c r="G265" s="292"/>
      <c r="I265" s="292"/>
    </row>
    <row r="266" spans="1:9">
      <c r="A266" s="833" t="s">
        <v>826</v>
      </c>
      <c r="B266" s="833" t="s">
        <v>16390</v>
      </c>
      <c r="C266" s="292" t="s">
        <v>16391</v>
      </c>
      <c r="D266" s="293">
        <v>4479</v>
      </c>
      <c r="F266" s="833" t="s">
        <v>16114</v>
      </c>
      <c r="G266" s="292"/>
      <c r="I266" s="292"/>
    </row>
    <row r="267" spans="1:9">
      <c r="A267" s="833" t="s">
        <v>827</v>
      </c>
      <c r="B267" s="833" t="s">
        <v>16392</v>
      </c>
      <c r="C267" s="292" t="s">
        <v>16393</v>
      </c>
      <c r="D267" s="293">
        <v>5260</v>
      </c>
      <c r="F267" s="833" t="s">
        <v>16114</v>
      </c>
      <c r="G267" s="292"/>
      <c r="I267" s="292"/>
    </row>
    <row r="268" spans="1:9">
      <c r="A268" s="833" t="s">
        <v>828</v>
      </c>
      <c r="B268" s="833" t="s">
        <v>16394</v>
      </c>
      <c r="C268" s="292" t="s">
        <v>16395</v>
      </c>
      <c r="D268" s="293">
        <v>4929</v>
      </c>
      <c r="F268" s="833" t="s">
        <v>16114</v>
      </c>
      <c r="G268" s="292"/>
      <c r="I268" s="292"/>
    </row>
    <row r="269" spans="1:9">
      <c r="A269" s="833" t="s">
        <v>829</v>
      </c>
      <c r="B269" s="833" t="s">
        <v>16396</v>
      </c>
      <c r="C269" s="292" t="s">
        <v>16397</v>
      </c>
      <c r="D269" s="293">
        <v>3012</v>
      </c>
      <c r="F269" s="833" t="s">
        <v>16114</v>
      </c>
      <c r="G269" s="292"/>
      <c r="I269" s="292"/>
    </row>
    <row r="270" spans="1:9">
      <c r="A270" s="833" t="s">
        <v>830</v>
      </c>
      <c r="B270" s="833" t="s">
        <v>6933</v>
      </c>
      <c r="C270" s="292" t="s">
        <v>16398</v>
      </c>
      <c r="D270" s="293">
        <v>4791</v>
      </c>
      <c r="F270" s="833" t="s">
        <v>16114</v>
      </c>
      <c r="G270" s="292"/>
      <c r="I270" s="292"/>
    </row>
    <row r="271" spans="1:9">
      <c r="A271" s="833" t="s">
        <v>831</v>
      </c>
      <c r="B271" s="833" t="s">
        <v>13492</v>
      </c>
      <c r="C271" s="292" t="s">
        <v>16399</v>
      </c>
      <c r="D271" s="293">
        <v>3508</v>
      </c>
      <c r="F271" s="833" t="s">
        <v>16114</v>
      </c>
      <c r="G271" s="292"/>
      <c r="I271" s="292"/>
    </row>
    <row r="272" spans="1:9">
      <c r="A272" s="833" t="s">
        <v>832</v>
      </c>
      <c r="B272" s="833" t="s">
        <v>3631</v>
      </c>
      <c r="C272" s="292" t="s">
        <v>16400</v>
      </c>
      <c r="D272" s="293">
        <v>4452</v>
      </c>
      <c r="F272" s="833" t="s">
        <v>16114</v>
      </c>
      <c r="G272" s="292"/>
      <c r="I272" s="292"/>
    </row>
    <row r="273" spans="1:9">
      <c r="A273" s="833" t="s">
        <v>833</v>
      </c>
      <c r="B273" s="833" t="s">
        <v>2865</v>
      </c>
      <c r="C273" s="292" t="s">
        <v>16401</v>
      </c>
      <c r="D273" s="293">
        <v>3378</v>
      </c>
      <c r="F273" s="833" t="s">
        <v>16114</v>
      </c>
      <c r="G273" s="292"/>
      <c r="I273" s="292"/>
    </row>
    <row r="274" spans="1:9">
      <c r="A274" s="833" t="s">
        <v>834</v>
      </c>
      <c r="B274" s="833" t="s">
        <v>16402</v>
      </c>
      <c r="C274" s="292" t="s">
        <v>16403</v>
      </c>
      <c r="D274" s="293">
        <v>3652</v>
      </c>
      <c r="F274" s="833" t="s">
        <v>16114</v>
      </c>
      <c r="G274" s="292"/>
      <c r="I274" s="292"/>
    </row>
    <row r="275" spans="1:9">
      <c r="A275" s="833" t="s">
        <v>835</v>
      </c>
      <c r="B275" s="833" t="s">
        <v>10567</v>
      </c>
      <c r="C275" s="292" t="s">
        <v>16404</v>
      </c>
      <c r="D275" s="293">
        <v>3308</v>
      </c>
      <c r="F275" s="833" t="s">
        <v>16114</v>
      </c>
      <c r="G275" s="292"/>
      <c r="I275" s="292"/>
    </row>
    <row r="276" spans="1:9">
      <c r="A276" s="833" t="s">
        <v>836</v>
      </c>
      <c r="B276" s="833" t="s">
        <v>16405</v>
      </c>
      <c r="C276" s="292" t="s">
        <v>16406</v>
      </c>
      <c r="D276" s="295">
        <v>3256</v>
      </c>
      <c r="F276" s="833" t="s">
        <v>16114</v>
      </c>
      <c r="G276" s="292"/>
      <c r="I276" s="292"/>
    </row>
    <row r="277" spans="1:9">
      <c r="D277" s="835"/>
    </row>
    <row r="278" spans="1:9">
      <c r="A278" s="833" t="s">
        <v>16234</v>
      </c>
      <c r="D278" s="834">
        <f>D261+SUM(D263:D276)</f>
        <v>60024</v>
      </c>
    </row>
    <row r="279" spans="1:9">
      <c r="A279" s="833" t="s">
        <v>16235</v>
      </c>
      <c r="D279" s="834">
        <f>D262</f>
        <v>2610</v>
      </c>
    </row>
    <row r="280" spans="1:9">
      <c r="A280" s="833"/>
      <c r="B280" s="833"/>
      <c r="D280" s="841"/>
    </row>
    <row r="281" spans="1:9">
      <c r="A281" s="833" t="s">
        <v>16407</v>
      </c>
      <c r="B281" s="833"/>
      <c r="D281" s="841"/>
    </row>
    <row r="282" spans="1:9">
      <c r="A282" s="833"/>
      <c r="B282" s="833"/>
      <c r="D282" s="841"/>
    </row>
    <row r="283" spans="1:9">
      <c r="A283" s="833"/>
      <c r="B283" s="833"/>
      <c r="D283" s="841"/>
    </row>
    <row r="284" spans="1:9">
      <c r="D284" s="10" t="s">
        <v>285</v>
      </c>
      <c r="E284" s="38"/>
      <c r="F284" s="5" t="s">
        <v>4116</v>
      </c>
    </row>
    <row r="285" spans="1:9">
      <c r="D285" s="191">
        <v>2016</v>
      </c>
      <c r="F285" s="41" t="s">
        <v>286</v>
      </c>
    </row>
    <row r="286" spans="1:9">
      <c r="A286" s="833" t="s">
        <v>16408</v>
      </c>
      <c r="D286" s="834">
        <f t="shared" ref="D286" si="53">SUM(D287:D306)</f>
        <v>60505</v>
      </c>
    </row>
    <row r="287" spans="1:9">
      <c r="A287" s="833" t="s">
        <v>812</v>
      </c>
      <c r="B287" s="833" t="s">
        <v>16409</v>
      </c>
      <c r="C287" s="292" t="s">
        <v>16410</v>
      </c>
      <c r="D287" s="316">
        <v>4155</v>
      </c>
      <c r="F287" s="833" t="s">
        <v>16098</v>
      </c>
      <c r="G287" s="292"/>
      <c r="I287" s="292"/>
    </row>
    <row r="288" spans="1:9">
      <c r="A288" s="833" t="s">
        <v>813</v>
      </c>
      <c r="B288" s="833" t="s">
        <v>16411</v>
      </c>
      <c r="C288" s="292" t="s">
        <v>16412</v>
      </c>
      <c r="D288" s="316">
        <v>4399</v>
      </c>
      <c r="F288" s="833" t="s">
        <v>16098</v>
      </c>
      <c r="G288" s="292"/>
      <c r="I288" s="292"/>
    </row>
    <row r="289" spans="1:9">
      <c r="A289" s="833" t="s">
        <v>814</v>
      </c>
      <c r="B289" s="833" t="s">
        <v>16413</v>
      </c>
      <c r="C289" s="292" t="s">
        <v>16414</v>
      </c>
      <c r="D289" s="316">
        <v>1379</v>
      </c>
      <c r="F289" s="833" t="s">
        <v>16098</v>
      </c>
      <c r="G289" s="292"/>
      <c r="I289" s="292"/>
    </row>
    <row r="290" spans="1:9">
      <c r="A290" s="833" t="s">
        <v>815</v>
      </c>
      <c r="B290" s="833" t="s">
        <v>16415</v>
      </c>
      <c r="C290" s="292" t="s">
        <v>16416</v>
      </c>
      <c r="D290" s="316">
        <v>2894</v>
      </c>
      <c r="F290" s="833" t="s">
        <v>16098</v>
      </c>
      <c r="G290" s="292"/>
      <c r="I290" s="292"/>
    </row>
    <row r="291" spans="1:9">
      <c r="A291" s="833" t="s">
        <v>816</v>
      </c>
      <c r="B291" s="833" t="s">
        <v>16417</v>
      </c>
      <c r="C291" s="292" t="s">
        <v>16418</v>
      </c>
      <c r="D291" s="316">
        <v>1671</v>
      </c>
      <c r="F291" s="833" t="s">
        <v>16098</v>
      </c>
      <c r="G291" s="292"/>
      <c r="I291" s="292"/>
    </row>
    <row r="292" spans="1:9">
      <c r="A292" s="833" t="s">
        <v>826</v>
      </c>
      <c r="B292" s="833" t="s">
        <v>16419</v>
      </c>
      <c r="C292" s="292" t="s">
        <v>16420</v>
      </c>
      <c r="D292" s="316">
        <v>4193</v>
      </c>
      <c r="F292" s="833" t="s">
        <v>16098</v>
      </c>
      <c r="G292" s="292"/>
      <c r="I292" s="292"/>
    </row>
    <row r="293" spans="1:9">
      <c r="A293" s="833" t="s">
        <v>827</v>
      </c>
      <c r="B293" s="833" t="s">
        <v>16421</v>
      </c>
      <c r="C293" s="292" t="s">
        <v>16422</v>
      </c>
      <c r="D293" s="316">
        <v>2978</v>
      </c>
      <c r="F293" s="833" t="s">
        <v>16098</v>
      </c>
      <c r="G293" s="292"/>
      <c r="I293" s="292"/>
    </row>
    <row r="294" spans="1:9">
      <c r="A294" s="833" t="s">
        <v>828</v>
      </c>
      <c r="B294" s="833" t="s">
        <v>16423</v>
      </c>
      <c r="C294" s="292" t="s">
        <v>16424</v>
      </c>
      <c r="D294" s="316">
        <v>2739</v>
      </c>
      <c r="F294" s="833" t="s">
        <v>16098</v>
      </c>
      <c r="G294" s="292"/>
      <c r="I294" s="292"/>
    </row>
    <row r="295" spans="1:9">
      <c r="A295" s="833" t="s">
        <v>829</v>
      </c>
      <c r="B295" s="833" t="s">
        <v>16425</v>
      </c>
      <c r="C295" s="292" t="s">
        <v>16426</v>
      </c>
      <c r="D295" s="316">
        <v>3124</v>
      </c>
      <c r="F295" s="833" t="s">
        <v>16098</v>
      </c>
      <c r="G295" s="292"/>
      <c r="I295" s="292"/>
    </row>
    <row r="296" spans="1:9">
      <c r="A296" s="833" t="s">
        <v>830</v>
      </c>
      <c r="B296" s="833" t="s">
        <v>16427</v>
      </c>
      <c r="C296" s="292" t="s">
        <v>16428</v>
      </c>
      <c r="D296" s="316">
        <v>4197</v>
      </c>
      <c r="F296" s="833" t="s">
        <v>16098</v>
      </c>
      <c r="G296" s="292"/>
      <c r="I296" s="292"/>
    </row>
    <row r="297" spans="1:9">
      <c r="A297" s="833" t="s">
        <v>831</v>
      </c>
      <c r="B297" s="833" t="s">
        <v>16429</v>
      </c>
      <c r="C297" s="292" t="s">
        <v>16430</v>
      </c>
      <c r="D297" s="316">
        <v>4351</v>
      </c>
      <c r="F297" s="833" t="s">
        <v>16098</v>
      </c>
      <c r="G297" s="292"/>
      <c r="I297" s="292"/>
    </row>
    <row r="298" spans="1:9">
      <c r="A298" s="833" t="s">
        <v>832</v>
      </c>
      <c r="B298" s="833" t="s">
        <v>16431</v>
      </c>
      <c r="C298" s="292" t="s">
        <v>16432</v>
      </c>
      <c r="D298" s="316">
        <v>3208</v>
      </c>
      <c r="F298" s="833" t="s">
        <v>16098</v>
      </c>
      <c r="G298" s="292"/>
      <c r="I298" s="292"/>
    </row>
    <row r="299" spans="1:9">
      <c r="A299" s="833" t="s">
        <v>833</v>
      </c>
      <c r="B299" s="833" t="s">
        <v>6873</v>
      </c>
      <c r="C299" s="292" t="s">
        <v>16433</v>
      </c>
      <c r="D299" s="316">
        <v>2793</v>
      </c>
      <c r="F299" s="833" t="s">
        <v>16098</v>
      </c>
      <c r="G299" s="292"/>
      <c r="I299" s="292"/>
    </row>
    <row r="300" spans="1:9">
      <c r="A300" s="833" t="s">
        <v>834</v>
      </c>
      <c r="B300" s="192" t="s">
        <v>16434</v>
      </c>
      <c r="C300" s="292" t="s">
        <v>16435</v>
      </c>
      <c r="D300" s="316">
        <v>1488</v>
      </c>
      <c r="F300" s="833" t="s">
        <v>16098</v>
      </c>
      <c r="G300" s="292"/>
      <c r="I300" s="292"/>
    </row>
    <row r="301" spans="1:9">
      <c r="A301" s="833" t="s">
        <v>835</v>
      </c>
      <c r="B301" s="833" t="s">
        <v>919</v>
      </c>
      <c r="C301" s="292" t="s">
        <v>16436</v>
      </c>
      <c r="D301" s="316">
        <v>2863</v>
      </c>
      <c r="F301" s="833" t="s">
        <v>16098</v>
      </c>
      <c r="G301" s="292"/>
      <c r="I301" s="292"/>
    </row>
    <row r="302" spans="1:9">
      <c r="A302" s="833" t="s">
        <v>836</v>
      </c>
      <c r="B302" s="833" t="s">
        <v>16437</v>
      </c>
      <c r="C302" s="292" t="s">
        <v>16438</v>
      </c>
      <c r="D302" s="316">
        <v>4147</v>
      </c>
      <c r="F302" s="833" t="s">
        <v>16098</v>
      </c>
      <c r="G302" s="292"/>
      <c r="I302" s="292"/>
    </row>
    <row r="303" spans="1:9">
      <c r="A303" s="833" t="s">
        <v>837</v>
      </c>
      <c r="B303" s="833" t="s">
        <v>16439</v>
      </c>
      <c r="C303" s="292" t="s">
        <v>16440</v>
      </c>
      <c r="D303" s="316">
        <v>2636</v>
      </c>
      <c r="F303" s="833" t="s">
        <v>16098</v>
      </c>
      <c r="G303" s="292"/>
      <c r="I303" s="292"/>
    </row>
    <row r="304" spans="1:9">
      <c r="A304" s="833" t="s">
        <v>838</v>
      </c>
      <c r="B304" s="833" t="s">
        <v>16441</v>
      </c>
      <c r="C304" s="292" t="s">
        <v>16442</v>
      </c>
      <c r="D304" s="316">
        <v>3078</v>
      </c>
      <c r="F304" s="833" t="s">
        <v>16098</v>
      </c>
      <c r="G304" s="292"/>
      <c r="I304" s="292"/>
    </row>
    <row r="305" spans="1:9">
      <c r="A305" s="833" t="s">
        <v>840</v>
      </c>
      <c r="B305" s="833" t="s">
        <v>16443</v>
      </c>
      <c r="C305" s="292" t="s">
        <v>16444</v>
      </c>
      <c r="D305" s="316">
        <v>2775</v>
      </c>
      <c r="F305" s="833" t="s">
        <v>16098</v>
      </c>
      <c r="G305" s="292"/>
      <c r="I305" s="292"/>
    </row>
    <row r="306" spans="1:9">
      <c r="A306" s="833" t="s">
        <v>841</v>
      </c>
      <c r="B306" s="833" t="s">
        <v>16445</v>
      </c>
      <c r="C306" s="292" t="s">
        <v>16446</v>
      </c>
      <c r="D306" s="316">
        <v>1437</v>
      </c>
      <c r="F306" s="833" t="s">
        <v>16098</v>
      </c>
      <c r="G306" s="292"/>
      <c r="I306" s="292"/>
    </row>
    <row r="307" spans="1:9">
      <c r="D307" s="835"/>
    </row>
    <row r="308" spans="1:9" ht="16.5" customHeight="1">
      <c r="A308" s="833" t="s">
        <v>16319</v>
      </c>
      <c r="D308" s="834">
        <f t="shared" ref="D308" si="54">SUM(D287:D306)</f>
        <v>60505</v>
      </c>
    </row>
    <row r="309" spans="1:9">
      <c r="A309" s="833"/>
      <c r="B309" s="833"/>
      <c r="D309" s="841"/>
    </row>
    <row r="310" spans="1:9">
      <c r="A310" s="833" t="s">
        <v>16447</v>
      </c>
      <c r="B310" s="833"/>
      <c r="D310" s="841"/>
    </row>
    <row r="311" spans="1:9">
      <c r="A311" s="833" t="s">
        <v>16448</v>
      </c>
      <c r="B311" s="833"/>
      <c r="D311" s="841"/>
    </row>
    <row r="312" spans="1:9">
      <c r="A312" s="833"/>
      <c r="B312" s="833"/>
      <c r="C312" s="833"/>
      <c r="D312" s="841"/>
    </row>
    <row r="313" spans="1:9">
      <c r="A313" s="833"/>
      <c r="B313" s="833"/>
      <c r="C313" s="833"/>
      <c r="D313" s="841"/>
    </row>
    <row r="314" spans="1:9">
      <c r="D314" s="10" t="s">
        <v>285</v>
      </c>
      <c r="E314" s="38"/>
      <c r="F314" s="5" t="s">
        <v>4116</v>
      </c>
    </row>
    <row r="315" spans="1:9">
      <c r="D315" s="191">
        <v>2016</v>
      </c>
      <c r="F315" s="41" t="s">
        <v>286</v>
      </c>
    </row>
    <row r="316" spans="1:9">
      <c r="A316" s="833" t="s">
        <v>16449</v>
      </c>
      <c r="C316" s="833"/>
      <c r="D316" s="834">
        <f t="shared" ref="D316" si="55">SUM(D317:D345)</f>
        <v>88240</v>
      </c>
    </row>
    <row r="317" spans="1:9">
      <c r="A317" s="833" t="s">
        <v>812</v>
      </c>
      <c r="B317" s="833" t="s">
        <v>16450</v>
      </c>
      <c r="C317" s="292" t="s">
        <v>16451</v>
      </c>
      <c r="D317" s="293">
        <v>1494</v>
      </c>
      <c r="F317" s="833" t="s">
        <v>16104</v>
      </c>
      <c r="G317" s="292"/>
      <c r="I317" s="292"/>
    </row>
    <row r="318" spans="1:9">
      <c r="A318" s="833" t="s">
        <v>813</v>
      </c>
      <c r="B318" s="833" t="s">
        <v>16452</v>
      </c>
      <c r="C318" s="292" t="s">
        <v>16453</v>
      </c>
      <c r="D318" s="293">
        <v>1420</v>
      </c>
      <c r="F318" s="833" t="s">
        <v>16104</v>
      </c>
      <c r="G318" s="292"/>
      <c r="I318" s="292"/>
    </row>
    <row r="319" spans="1:9">
      <c r="A319" s="833" t="s">
        <v>814</v>
      </c>
      <c r="B319" s="833" t="s">
        <v>16454</v>
      </c>
      <c r="C319" s="292" t="s">
        <v>16455</v>
      </c>
      <c r="D319" s="293">
        <v>3333</v>
      </c>
      <c r="F319" s="833" t="s">
        <v>16112</v>
      </c>
      <c r="G319" s="292"/>
      <c r="I319" s="292"/>
    </row>
    <row r="320" spans="1:9">
      <c r="A320" s="833" t="s">
        <v>815</v>
      </c>
      <c r="B320" s="833" t="s">
        <v>16456</v>
      </c>
      <c r="C320" s="292" t="s">
        <v>16457</v>
      </c>
      <c r="D320" s="293">
        <v>2929</v>
      </c>
      <c r="F320" s="833" t="s">
        <v>16112</v>
      </c>
      <c r="G320" s="292"/>
      <c r="I320" s="292"/>
    </row>
    <row r="321" spans="1:9">
      <c r="A321" s="833" t="s">
        <v>816</v>
      </c>
      <c r="B321" s="192" t="s">
        <v>16458</v>
      </c>
      <c r="C321" s="292" t="s">
        <v>16459</v>
      </c>
      <c r="D321" s="293">
        <v>4946</v>
      </c>
      <c r="F321" s="192" t="s">
        <v>16104</v>
      </c>
      <c r="G321" s="292"/>
      <c r="I321" s="292"/>
    </row>
    <row r="322" spans="1:9">
      <c r="A322" s="833" t="s">
        <v>826</v>
      </c>
      <c r="B322" s="833" t="s">
        <v>16460</v>
      </c>
      <c r="C322" s="292" t="s">
        <v>16461</v>
      </c>
      <c r="D322" s="293">
        <v>2994</v>
      </c>
      <c r="F322" s="833" t="s">
        <v>16104</v>
      </c>
      <c r="G322" s="292"/>
      <c r="I322" s="292"/>
    </row>
    <row r="323" spans="1:9">
      <c r="A323" s="833" t="s">
        <v>827</v>
      </c>
      <c r="B323" s="833" t="s">
        <v>16462</v>
      </c>
      <c r="C323" s="292" t="s">
        <v>16463</v>
      </c>
      <c r="D323" s="293">
        <v>3002</v>
      </c>
      <c r="F323" s="833" t="s">
        <v>16112</v>
      </c>
      <c r="G323" s="292"/>
      <c r="I323" s="292"/>
    </row>
    <row r="324" spans="1:9">
      <c r="A324" s="833" t="s">
        <v>828</v>
      </c>
      <c r="B324" s="833" t="s">
        <v>16464</v>
      </c>
      <c r="C324" s="292" t="s">
        <v>16465</v>
      </c>
      <c r="D324" s="293">
        <v>1575</v>
      </c>
      <c r="F324" s="833" t="s">
        <v>16104</v>
      </c>
      <c r="G324" s="292"/>
      <c r="I324" s="292"/>
    </row>
    <row r="325" spans="1:9">
      <c r="A325" s="833" t="s">
        <v>829</v>
      </c>
      <c r="B325" s="833" t="s">
        <v>16466</v>
      </c>
      <c r="C325" s="292" t="s">
        <v>16467</v>
      </c>
      <c r="D325" s="293">
        <v>3103</v>
      </c>
      <c r="F325" s="833" t="s">
        <v>16112</v>
      </c>
      <c r="G325" s="292"/>
      <c r="I325" s="292"/>
    </row>
    <row r="326" spans="1:9">
      <c r="A326" s="833" t="s">
        <v>830</v>
      </c>
      <c r="B326" s="833" t="s">
        <v>16468</v>
      </c>
      <c r="C326" s="292" t="s">
        <v>16469</v>
      </c>
      <c r="D326" s="293">
        <v>2939</v>
      </c>
      <c r="F326" s="833" t="s">
        <v>16112</v>
      </c>
      <c r="G326" s="292"/>
      <c r="I326" s="292"/>
    </row>
    <row r="327" spans="1:9">
      <c r="A327" s="833" t="s">
        <v>831</v>
      </c>
      <c r="B327" s="833" t="s">
        <v>16470</v>
      </c>
      <c r="C327" s="292" t="s">
        <v>16471</v>
      </c>
      <c r="D327" s="293">
        <v>3036</v>
      </c>
      <c r="F327" s="833" t="s">
        <v>16112</v>
      </c>
      <c r="G327" s="292"/>
      <c r="I327" s="292"/>
    </row>
    <row r="328" spans="1:9">
      <c r="A328" s="833" t="s">
        <v>832</v>
      </c>
      <c r="B328" s="833" t="s">
        <v>16472</v>
      </c>
      <c r="C328" s="292" t="s">
        <v>16473</v>
      </c>
      <c r="D328" s="293">
        <v>3165</v>
      </c>
      <c r="F328" s="833" t="s">
        <v>16112</v>
      </c>
      <c r="G328" s="292"/>
      <c r="I328" s="292"/>
    </row>
    <row r="329" spans="1:9">
      <c r="A329" s="833" t="s">
        <v>833</v>
      </c>
      <c r="B329" s="833" t="s">
        <v>16474</v>
      </c>
      <c r="C329" s="292" t="s">
        <v>16475</v>
      </c>
      <c r="D329" s="293">
        <v>3505</v>
      </c>
      <c r="F329" s="833" t="s">
        <v>16112</v>
      </c>
      <c r="G329" s="292"/>
      <c r="I329" s="292"/>
    </row>
    <row r="330" spans="1:9">
      <c r="A330" s="833" t="s">
        <v>834</v>
      </c>
      <c r="B330" s="833" t="s">
        <v>16476</v>
      </c>
      <c r="C330" s="292" t="s">
        <v>16477</v>
      </c>
      <c r="D330" s="293">
        <v>3107</v>
      </c>
      <c r="F330" s="833" t="s">
        <v>16112</v>
      </c>
      <c r="G330" s="292"/>
      <c r="I330" s="292"/>
    </row>
    <row r="331" spans="1:9">
      <c r="A331" s="833" t="s">
        <v>835</v>
      </c>
      <c r="B331" s="833" t="s">
        <v>16478</v>
      </c>
      <c r="C331" s="292" t="s">
        <v>16479</v>
      </c>
      <c r="D331" s="295">
        <v>3052</v>
      </c>
      <c r="F331" s="833" t="s">
        <v>16112</v>
      </c>
      <c r="G331" s="292"/>
      <c r="I331" s="292"/>
    </row>
    <row r="332" spans="1:9">
      <c r="A332" s="833" t="s">
        <v>836</v>
      </c>
      <c r="B332" s="833" t="s">
        <v>16480</v>
      </c>
      <c r="C332" s="292" t="s">
        <v>16481</v>
      </c>
      <c r="D332" s="295">
        <v>3242</v>
      </c>
      <c r="F332" s="833" t="s">
        <v>16112</v>
      </c>
      <c r="G332" s="292"/>
      <c r="I332" s="292"/>
    </row>
    <row r="333" spans="1:9">
      <c r="A333" s="833" t="s">
        <v>837</v>
      </c>
      <c r="B333" s="833" t="s">
        <v>16482</v>
      </c>
      <c r="C333" s="292" t="s">
        <v>16483</v>
      </c>
      <c r="D333" s="295">
        <v>3271</v>
      </c>
      <c r="F333" s="833" t="s">
        <v>16112</v>
      </c>
      <c r="G333" s="292"/>
      <c r="I333" s="292"/>
    </row>
    <row r="334" spans="1:9">
      <c r="A334" s="833" t="s">
        <v>838</v>
      </c>
      <c r="B334" s="833" t="s">
        <v>16484</v>
      </c>
      <c r="C334" s="292" t="s">
        <v>16485</v>
      </c>
      <c r="D334" s="295">
        <v>3045</v>
      </c>
      <c r="F334" s="833" t="s">
        <v>16112</v>
      </c>
      <c r="G334" s="292"/>
      <c r="I334" s="292"/>
    </row>
    <row r="335" spans="1:9">
      <c r="A335" s="833" t="s">
        <v>840</v>
      </c>
      <c r="B335" s="833" t="s">
        <v>16486</v>
      </c>
      <c r="C335" s="292" t="s">
        <v>16487</v>
      </c>
      <c r="D335" s="295">
        <v>3001</v>
      </c>
      <c r="F335" s="833" t="s">
        <v>16112</v>
      </c>
      <c r="G335" s="292"/>
      <c r="I335" s="292"/>
    </row>
    <row r="336" spans="1:9">
      <c r="A336" s="833" t="s">
        <v>841</v>
      </c>
      <c r="B336" s="833" t="s">
        <v>16488</v>
      </c>
      <c r="C336" s="292" t="s">
        <v>16489</v>
      </c>
      <c r="D336" s="295">
        <v>3219</v>
      </c>
      <c r="F336" s="833" t="s">
        <v>16112</v>
      </c>
      <c r="G336" s="292"/>
      <c r="I336" s="292"/>
    </row>
    <row r="337" spans="1:9">
      <c r="A337" s="833" t="s">
        <v>878</v>
      </c>
      <c r="B337" s="833" t="s">
        <v>16490</v>
      </c>
      <c r="C337" s="292" t="s">
        <v>16491</v>
      </c>
      <c r="D337" s="295">
        <v>2642</v>
      </c>
      <c r="F337" s="833" t="s">
        <v>16112</v>
      </c>
      <c r="G337" s="292"/>
      <c r="I337" s="292"/>
    </row>
    <row r="338" spans="1:9">
      <c r="A338" s="833" t="s">
        <v>879</v>
      </c>
      <c r="B338" s="833" t="s">
        <v>16492</v>
      </c>
      <c r="C338" s="292" t="s">
        <v>16493</v>
      </c>
      <c r="D338" s="295">
        <v>3497</v>
      </c>
      <c r="F338" s="833" t="s">
        <v>16112</v>
      </c>
      <c r="G338" s="292"/>
      <c r="I338" s="292"/>
    </row>
    <row r="339" spans="1:9">
      <c r="A339" s="833" t="s">
        <v>880</v>
      </c>
      <c r="B339" s="833" t="s">
        <v>16494</v>
      </c>
      <c r="C339" s="292" t="s">
        <v>16495</v>
      </c>
      <c r="D339" s="295">
        <v>3196</v>
      </c>
      <c r="F339" s="833" t="s">
        <v>16112</v>
      </c>
      <c r="G339" s="292"/>
      <c r="I339" s="292"/>
    </row>
    <row r="340" spans="1:9">
      <c r="A340" s="833" t="s">
        <v>721</v>
      </c>
      <c r="B340" s="833" t="s">
        <v>16496</v>
      </c>
      <c r="C340" s="292" t="s">
        <v>16497</v>
      </c>
      <c r="D340" s="295">
        <v>4313</v>
      </c>
      <c r="F340" s="833" t="s">
        <v>16112</v>
      </c>
      <c r="G340" s="292"/>
      <c r="I340" s="292"/>
    </row>
    <row r="341" spans="1:9">
      <c r="A341" s="833" t="s">
        <v>722</v>
      </c>
      <c r="B341" s="833" t="s">
        <v>16498</v>
      </c>
      <c r="C341" s="292" t="s">
        <v>16499</v>
      </c>
      <c r="D341" s="295">
        <v>4897</v>
      </c>
      <c r="F341" s="833" t="s">
        <v>16112</v>
      </c>
      <c r="G341" s="292"/>
      <c r="I341" s="292"/>
    </row>
    <row r="342" spans="1:9">
      <c r="A342" s="833" t="s">
        <v>723</v>
      </c>
      <c r="B342" s="833" t="s">
        <v>16500</v>
      </c>
      <c r="C342" s="292" t="s">
        <v>16501</v>
      </c>
      <c r="D342" s="295">
        <v>3108</v>
      </c>
      <c r="F342" s="833" t="s">
        <v>16112</v>
      </c>
      <c r="G342" s="292"/>
      <c r="I342" s="292"/>
    </row>
    <row r="343" spans="1:9">
      <c r="A343" s="833" t="s">
        <v>733</v>
      </c>
      <c r="B343" s="833" t="s">
        <v>3052</v>
      </c>
      <c r="C343" s="292" t="s">
        <v>16502</v>
      </c>
      <c r="D343" s="295">
        <v>3007</v>
      </c>
      <c r="F343" s="833" t="s">
        <v>16112</v>
      </c>
      <c r="G343" s="292"/>
      <c r="I343" s="292"/>
    </row>
    <row r="344" spans="1:9">
      <c r="A344" s="833" t="s">
        <v>734</v>
      </c>
      <c r="B344" s="833" t="s">
        <v>16503</v>
      </c>
      <c r="C344" s="292" t="s">
        <v>16504</v>
      </c>
      <c r="D344" s="293">
        <v>1317</v>
      </c>
      <c r="F344" s="833" t="s">
        <v>16104</v>
      </c>
      <c r="G344" s="292"/>
      <c r="I344" s="292"/>
    </row>
    <row r="345" spans="1:9">
      <c r="A345" s="840">
        <v>29</v>
      </c>
      <c r="B345" s="833" t="s">
        <v>16505</v>
      </c>
      <c r="C345" s="292" t="s">
        <v>16506</v>
      </c>
      <c r="D345" s="295">
        <v>2885</v>
      </c>
      <c r="F345" s="833" t="s">
        <v>16112</v>
      </c>
      <c r="G345" s="292"/>
      <c r="I345" s="292"/>
    </row>
    <row r="346" spans="1:9">
      <c r="D346" s="835"/>
    </row>
    <row r="347" spans="1:9">
      <c r="A347" s="833" t="s">
        <v>16233</v>
      </c>
      <c r="D347" s="834">
        <f t="shared" ref="D347" si="56">D317+D318+D321+D322+D324+D344</f>
        <v>13746</v>
      </c>
    </row>
    <row r="348" spans="1:9">
      <c r="A348" s="833" t="s">
        <v>16112</v>
      </c>
      <c r="D348" s="834">
        <f t="shared" ref="D348" si="57">D319+D320+D323+SUM(D325:D343)+D345</f>
        <v>74494</v>
      </c>
    </row>
    <row r="349" spans="1:9">
      <c r="A349" s="833"/>
      <c r="B349" s="833"/>
      <c r="D349" s="841"/>
    </row>
    <row r="350" spans="1:9">
      <c r="A350" s="833" t="s">
        <v>16507</v>
      </c>
      <c r="B350" s="833"/>
      <c r="C350" s="833"/>
      <c r="D350" s="841"/>
    </row>
    <row r="351" spans="1:9">
      <c r="A351" s="833"/>
      <c r="B351" s="833"/>
      <c r="C351" s="833"/>
      <c r="D351" s="841"/>
    </row>
    <row r="352" spans="1:9">
      <c r="A352" s="833"/>
      <c r="B352" s="833"/>
      <c r="C352" s="833"/>
      <c r="D352" s="841"/>
    </row>
    <row r="353" spans="1:9">
      <c r="D353" s="10" t="s">
        <v>285</v>
      </c>
      <c r="E353" s="38"/>
      <c r="F353" s="5" t="s">
        <v>4116</v>
      </c>
    </row>
    <row r="354" spans="1:9">
      <c r="D354" s="191">
        <v>2016</v>
      </c>
      <c r="F354" s="41" t="s">
        <v>286</v>
      </c>
    </row>
    <row r="355" spans="1:9">
      <c r="A355" s="833" t="s">
        <v>16508</v>
      </c>
      <c r="C355" s="833"/>
      <c r="D355" s="834">
        <f t="shared" ref="D355" si="58">SUM(D356:D372)</f>
        <v>67583</v>
      </c>
    </row>
    <row r="356" spans="1:9">
      <c r="A356" s="833" t="s">
        <v>812</v>
      </c>
      <c r="B356" s="833" t="s">
        <v>16509</v>
      </c>
      <c r="C356" s="292" t="s">
        <v>16510</v>
      </c>
      <c r="D356" s="293">
        <v>1851</v>
      </c>
      <c r="F356" s="833" t="s">
        <v>16116</v>
      </c>
      <c r="G356" s="292"/>
      <c r="I356" s="292"/>
    </row>
    <row r="357" spans="1:9">
      <c r="A357" s="833" t="s">
        <v>813</v>
      </c>
      <c r="B357" s="833" t="s">
        <v>16511</v>
      </c>
      <c r="C357" s="292" t="s">
        <v>16512</v>
      </c>
      <c r="D357" s="293">
        <v>5344</v>
      </c>
      <c r="F357" s="833" t="s">
        <v>16109</v>
      </c>
      <c r="G357" s="292"/>
      <c r="I357" s="292"/>
    </row>
    <row r="358" spans="1:9">
      <c r="A358" s="833" t="s">
        <v>814</v>
      </c>
      <c r="B358" s="833" t="s">
        <v>16513</v>
      </c>
      <c r="C358" s="292" t="s">
        <v>16514</v>
      </c>
      <c r="D358" s="293">
        <v>5018</v>
      </c>
      <c r="F358" s="833" t="s">
        <v>16116</v>
      </c>
      <c r="G358" s="292"/>
      <c r="I358" s="292"/>
    </row>
    <row r="359" spans="1:9">
      <c r="A359" s="833" t="s">
        <v>815</v>
      </c>
      <c r="B359" s="833" t="s">
        <v>16515</v>
      </c>
      <c r="C359" s="292" t="s">
        <v>16516</v>
      </c>
      <c r="D359" s="293">
        <v>3500</v>
      </c>
      <c r="F359" s="833" t="s">
        <v>16116</v>
      </c>
      <c r="G359" s="292"/>
      <c r="I359" s="292"/>
    </row>
    <row r="360" spans="1:9">
      <c r="A360" s="833" t="s">
        <v>816</v>
      </c>
      <c r="B360" s="192" t="s">
        <v>16517</v>
      </c>
      <c r="C360" s="292" t="s">
        <v>16518</v>
      </c>
      <c r="D360" s="293">
        <v>3742</v>
      </c>
      <c r="F360" s="833" t="s">
        <v>16116</v>
      </c>
      <c r="G360" s="292"/>
      <c r="I360" s="292"/>
    </row>
    <row r="361" spans="1:9">
      <c r="A361" s="833" t="s">
        <v>826</v>
      </c>
      <c r="B361" s="833" t="s">
        <v>16519</v>
      </c>
      <c r="C361" s="292" t="s">
        <v>16520</v>
      </c>
      <c r="D361" s="293">
        <v>3478</v>
      </c>
      <c r="F361" s="833" t="s">
        <v>16116</v>
      </c>
      <c r="G361" s="292"/>
      <c r="I361" s="292"/>
    </row>
    <row r="362" spans="1:9">
      <c r="A362" s="833" t="s">
        <v>827</v>
      </c>
      <c r="B362" s="833" t="s">
        <v>16521</v>
      </c>
      <c r="C362" s="292" t="s">
        <v>16522</v>
      </c>
      <c r="D362" s="293">
        <v>5154</v>
      </c>
      <c r="F362" s="833" t="s">
        <v>16116</v>
      </c>
      <c r="G362" s="292"/>
      <c r="I362" s="292"/>
    </row>
    <row r="363" spans="1:9">
      <c r="A363" s="833" t="s">
        <v>828</v>
      </c>
      <c r="B363" s="833" t="s">
        <v>16523</v>
      </c>
      <c r="C363" s="292" t="s">
        <v>16524</v>
      </c>
      <c r="D363" s="293">
        <v>3923</v>
      </c>
      <c r="F363" s="833" t="s">
        <v>16116</v>
      </c>
      <c r="G363" s="292"/>
      <c r="I363" s="292"/>
    </row>
    <row r="364" spans="1:9">
      <c r="A364" s="833" t="s">
        <v>829</v>
      </c>
      <c r="B364" s="833" t="s">
        <v>16525</v>
      </c>
      <c r="C364" s="292" t="s">
        <v>16526</v>
      </c>
      <c r="D364" s="293">
        <v>6796</v>
      </c>
      <c r="F364" s="833" t="s">
        <v>16116</v>
      </c>
      <c r="G364" s="292"/>
      <c r="I364" s="292"/>
    </row>
    <row r="365" spans="1:9">
      <c r="A365" s="833" t="s">
        <v>830</v>
      </c>
      <c r="B365" s="833" t="s">
        <v>16527</v>
      </c>
      <c r="C365" s="292" t="s">
        <v>16528</v>
      </c>
      <c r="D365" s="293">
        <v>6129</v>
      </c>
      <c r="F365" s="833" t="s">
        <v>16116</v>
      </c>
      <c r="G365" s="292"/>
      <c r="I365" s="292"/>
    </row>
    <row r="366" spans="1:9">
      <c r="A366" s="833" t="s">
        <v>831</v>
      </c>
      <c r="B366" s="833" t="s">
        <v>16529</v>
      </c>
      <c r="C366" s="292" t="s">
        <v>16530</v>
      </c>
      <c r="D366" s="293">
        <v>1932</v>
      </c>
      <c r="F366" s="833" t="s">
        <v>16116</v>
      </c>
      <c r="G366" s="292"/>
      <c r="I366" s="292"/>
    </row>
    <row r="367" spans="1:9">
      <c r="A367" s="833" t="s">
        <v>832</v>
      </c>
      <c r="B367" s="833" t="s">
        <v>16531</v>
      </c>
      <c r="C367" s="292" t="s">
        <v>16532</v>
      </c>
      <c r="D367" s="293">
        <v>3350</v>
      </c>
      <c r="F367" s="833" t="s">
        <v>16116</v>
      </c>
      <c r="G367" s="292"/>
      <c r="I367" s="292"/>
    </row>
    <row r="368" spans="1:9">
      <c r="A368" s="833" t="s">
        <v>833</v>
      </c>
      <c r="B368" s="833" t="s">
        <v>16533</v>
      </c>
      <c r="C368" s="292" t="s">
        <v>16534</v>
      </c>
      <c r="D368" s="293">
        <v>4187</v>
      </c>
      <c r="F368" s="833" t="s">
        <v>16116</v>
      </c>
      <c r="G368" s="292"/>
      <c r="I368" s="292"/>
    </row>
    <row r="369" spans="1:9">
      <c r="A369" s="833" t="s">
        <v>834</v>
      </c>
      <c r="B369" s="833" t="s">
        <v>16535</v>
      </c>
      <c r="C369" s="292" t="s">
        <v>16536</v>
      </c>
      <c r="D369" s="293">
        <v>2123</v>
      </c>
      <c r="F369" s="833" t="s">
        <v>16116</v>
      </c>
      <c r="G369" s="292"/>
      <c r="I369" s="292"/>
    </row>
    <row r="370" spans="1:9">
      <c r="A370" s="833" t="s">
        <v>835</v>
      </c>
      <c r="B370" s="833" t="s">
        <v>16537</v>
      </c>
      <c r="C370" s="292" t="s">
        <v>16538</v>
      </c>
      <c r="D370" s="293">
        <v>3789</v>
      </c>
      <c r="F370" s="833" t="s">
        <v>16116</v>
      </c>
      <c r="G370" s="292"/>
      <c r="I370" s="292"/>
    </row>
    <row r="371" spans="1:9">
      <c r="A371" s="833" t="s">
        <v>836</v>
      </c>
      <c r="B371" s="833" t="s">
        <v>16539</v>
      </c>
      <c r="C371" s="292" t="s">
        <v>16540</v>
      </c>
      <c r="D371" s="295">
        <v>3295</v>
      </c>
      <c r="F371" s="833" t="s">
        <v>16116</v>
      </c>
      <c r="G371" s="292"/>
      <c r="I371" s="292"/>
    </row>
    <row r="372" spans="1:9">
      <c r="A372" s="840">
        <v>17</v>
      </c>
      <c r="B372" s="833" t="s">
        <v>16541</v>
      </c>
      <c r="C372" s="292" t="s">
        <v>16542</v>
      </c>
      <c r="D372" s="295">
        <v>3972</v>
      </c>
      <c r="F372" s="833" t="s">
        <v>16116</v>
      </c>
      <c r="G372" s="292"/>
      <c r="I372" s="292"/>
    </row>
    <row r="373" spans="1:9">
      <c r="A373" s="840"/>
      <c r="B373" s="833"/>
      <c r="C373" s="292"/>
      <c r="D373" s="295"/>
      <c r="F373" s="833"/>
      <c r="G373" s="292"/>
      <c r="I373" s="292"/>
    </row>
    <row r="374" spans="1:9">
      <c r="A374" s="833" t="s">
        <v>16349</v>
      </c>
      <c r="D374" s="835">
        <f>D357</f>
        <v>5344</v>
      </c>
    </row>
    <row r="375" spans="1:9">
      <c r="A375" s="833" t="s">
        <v>16235</v>
      </c>
      <c r="D375" s="834">
        <f>D356+SUM(D358:D372)</f>
        <v>62239</v>
      </c>
    </row>
    <row r="377" spans="1:9">
      <c r="A377" s="192" t="s">
        <v>16543</v>
      </c>
    </row>
  </sheetData>
  <printOptions gridLinesSet="0"/>
  <pageMargins left="0.78740157480314965" right="0" top="0.51181102362204722" bottom="0.51181102362204722" header="0.51181102362204722" footer="0.51181102362204722"/>
  <pageSetup paperSize="9" scale="68" orientation="portrait" horizontalDpi="300" verticalDpi="300" r:id="rId1"/>
  <headerFooter alignWithMargins="0">
    <oddFooter>&amp;C&amp;8&amp;P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32"/>
  <sheetViews>
    <sheetView showGridLines="0" zoomScaleNormal="100" workbookViewId="0"/>
  </sheetViews>
  <sheetFormatPr defaultColWidth="12.59765625" defaultRowHeight="14.5"/>
  <cols>
    <col min="1" max="1" width="4.8984375" style="9" customWidth="1"/>
    <col min="2" max="2" width="45.69921875" style="9" customWidth="1"/>
    <col min="3" max="3" width="11.59765625" style="9" customWidth="1"/>
    <col min="4" max="4" width="10" style="9" customWidth="1"/>
    <col min="5" max="5" width="2.296875" style="9" customWidth="1"/>
    <col min="6" max="6" width="29.8984375" style="9" customWidth="1"/>
    <col min="7" max="16384" width="12.59765625" style="9"/>
  </cols>
  <sheetData>
    <row r="1" spans="1:6">
      <c r="A1" s="751" t="s">
        <v>1075</v>
      </c>
      <c r="D1" s="752">
        <v>2016</v>
      </c>
    </row>
    <row r="3" spans="1:6">
      <c r="A3" s="751" t="s">
        <v>13750</v>
      </c>
      <c r="C3" s="751"/>
      <c r="D3" s="753">
        <f t="shared" ref="D3" si="0">D47</f>
        <v>82150</v>
      </c>
    </row>
    <row r="4" spans="1:6">
      <c r="A4" s="751" t="s">
        <v>13751</v>
      </c>
      <c r="C4" s="751"/>
      <c r="D4" s="753">
        <f t="shared" ref="D4" si="1">D75</f>
        <v>95878</v>
      </c>
    </row>
    <row r="5" spans="1:6">
      <c r="A5" s="751" t="s">
        <v>13752</v>
      </c>
      <c r="C5" s="751"/>
      <c r="D5" s="753">
        <f t="shared" ref="D5" si="2">D101</f>
        <v>80072</v>
      </c>
    </row>
    <row r="6" spans="1:6">
      <c r="A6" s="751" t="s">
        <v>13753</v>
      </c>
      <c r="C6" s="751"/>
      <c r="D6" s="753">
        <f t="shared" ref="D6" si="3">D126</f>
        <v>114469</v>
      </c>
    </row>
    <row r="7" spans="1:6">
      <c r="A7" s="751" t="s">
        <v>13754</v>
      </c>
      <c r="C7" s="751"/>
      <c r="D7" s="753">
        <f t="shared" ref="D7" si="4">D167</f>
        <v>97048</v>
      </c>
    </row>
    <row r="8" spans="1:6" ht="15" thickBot="1">
      <c r="A8" s="751" t="s">
        <v>13755</v>
      </c>
      <c r="C8" s="751"/>
      <c r="D8" s="754">
        <f t="shared" ref="D8" si="5">D200</f>
        <v>118059</v>
      </c>
    </row>
    <row r="9" spans="1:6" ht="15" thickBot="1">
      <c r="A9" s="751"/>
      <c r="D9" s="754">
        <f t="shared" ref="D9" si="6">SUM(D3:D8)</f>
        <v>587676</v>
      </c>
    </row>
    <row r="10" spans="1:6" s="2" customFormat="1"/>
    <row r="11" spans="1:6">
      <c r="A11" s="751" t="s">
        <v>13756</v>
      </c>
      <c r="D11" s="753">
        <f t="shared" ref="D11" si="7">D67</f>
        <v>62101</v>
      </c>
      <c r="F11" s="751" t="s">
        <v>13757</v>
      </c>
    </row>
    <row r="12" spans="1:6" ht="15" thickBot="1">
      <c r="D12" s="754">
        <f t="shared" ref="D12" si="8">D227</f>
        <v>14816</v>
      </c>
      <c r="F12" s="751" t="s">
        <v>13758</v>
      </c>
    </row>
    <row r="13" spans="1:6" ht="15" thickBot="1">
      <c r="D13" s="754">
        <f t="shared" ref="D13" si="9">SUM(D11:D12)</f>
        <v>76917</v>
      </c>
    </row>
    <row r="14" spans="1:6">
      <c r="D14" s="755"/>
    </row>
    <row r="15" spans="1:6">
      <c r="A15" s="751" t="s">
        <v>13759</v>
      </c>
      <c r="D15" s="753">
        <f t="shared" ref="D15" si="10">D192</f>
        <v>51667</v>
      </c>
      <c r="F15" s="751" t="s">
        <v>13760</v>
      </c>
    </row>
    <row r="16" spans="1:6" ht="15" thickBot="1">
      <c r="D16" s="754">
        <f t="shared" ref="D16" si="11">D228</f>
        <v>20167</v>
      </c>
      <c r="F16" s="751" t="s">
        <v>13758</v>
      </c>
    </row>
    <row r="17" spans="1:6" ht="15" thickBot="1">
      <c r="D17" s="754">
        <f t="shared" ref="D17" si="12">D15+D16</f>
        <v>71834</v>
      </c>
    </row>
    <row r="18" spans="1:6">
      <c r="D18" s="755"/>
    </row>
    <row r="19" spans="1:6">
      <c r="A19" s="751" t="s">
        <v>13761</v>
      </c>
      <c r="D19" s="753">
        <f t="shared" ref="D19" si="13">D158</f>
        <v>76793</v>
      </c>
      <c r="F19" s="751" t="s">
        <v>13762</v>
      </c>
    </row>
    <row r="20" spans="1:6">
      <c r="D20" s="755"/>
    </row>
    <row r="21" spans="1:6">
      <c r="A21" s="751" t="s">
        <v>13763</v>
      </c>
      <c r="D21" s="753">
        <f t="shared" ref="D21" si="14">D93</f>
        <v>48207</v>
      </c>
      <c r="F21" s="751" t="s">
        <v>13764</v>
      </c>
    </row>
    <row r="22" spans="1:6" ht="15" thickBot="1">
      <c r="D22" s="754">
        <f t="shared" ref="D22" si="15">D229</f>
        <v>23817</v>
      </c>
      <c r="F22" s="751" t="s">
        <v>13758</v>
      </c>
    </row>
    <row r="23" spans="1:6" ht="15" thickBot="1">
      <c r="D23" s="754">
        <f t="shared" ref="D23" si="16">D21+D22</f>
        <v>72024</v>
      </c>
    </row>
    <row r="24" spans="1:6">
      <c r="D24" s="755"/>
    </row>
    <row r="25" spans="1:6">
      <c r="A25" s="751" t="s">
        <v>13765</v>
      </c>
      <c r="D25" s="756">
        <f t="shared" ref="D25" si="17">D94</f>
        <v>47671</v>
      </c>
      <c r="F25" s="751" t="s">
        <v>13764</v>
      </c>
    </row>
    <row r="26" spans="1:6" ht="15" thickBot="1">
      <c r="D26" s="754">
        <f t="shared" ref="D26" si="18">D159</f>
        <v>24430</v>
      </c>
      <c r="F26" s="751" t="s">
        <v>13762</v>
      </c>
    </row>
    <row r="27" spans="1:6" ht="15" thickBot="1">
      <c r="D27" s="754">
        <f t="shared" ref="D27" si="19">D25+D26</f>
        <v>72101</v>
      </c>
    </row>
    <row r="28" spans="1:6">
      <c r="D28" s="755"/>
    </row>
    <row r="29" spans="1:6">
      <c r="A29" s="751" t="s">
        <v>13766</v>
      </c>
      <c r="D29" s="753">
        <f t="shared" ref="D29" si="20">D118</f>
        <v>71317</v>
      </c>
      <c r="F29" s="751" t="s">
        <v>13767</v>
      </c>
    </row>
    <row r="30" spans="1:6">
      <c r="D30" s="755"/>
    </row>
    <row r="31" spans="1:6">
      <c r="A31" s="751" t="s">
        <v>13768</v>
      </c>
      <c r="D31" s="753">
        <f t="shared" ref="D31" si="21">D68</f>
        <v>20049</v>
      </c>
      <c r="F31" s="751" t="s">
        <v>13757</v>
      </c>
    </row>
    <row r="32" spans="1:6">
      <c r="D32" s="753">
        <f t="shared" ref="D32" si="22">D119</f>
        <v>8755</v>
      </c>
      <c r="F32" s="751" t="s">
        <v>13767</v>
      </c>
    </row>
    <row r="33" spans="1:9" ht="15" thickBot="1">
      <c r="D33" s="754">
        <f t="shared" ref="D33" si="23">D193</f>
        <v>45381</v>
      </c>
      <c r="F33" s="751" t="s">
        <v>13760</v>
      </c>
    </row>
    <row r="34" spans="1:9" ht="15" thickBot="1">
      <c r="D34" s="754">
        <f t="shared" ref="D34" si="24">SUM(D31:D33)</f>
        <v>74185</v>
      </c>
    </row>
    <row r="35" spans="1:9">
      <c r="D35" s="755"/>
    </row>
    <row r="36" spans="1:9">
      <c r="A36" s="751" t="s">
        <v>13769</v>
      </c>
      <c r="D36" s="753">
        <f t="shared" ref="D36" si="25">D160</f>
        <v>13246</v>
      </c>
      <c r="F36" s="751" t="s">
        <v>13762</v>
      </c>
    </row>
    <row r="37" spans="1:9" ht="15" thickBot="1">
      <c r="D37" s="754">
        <f t="shared" ref="D37" si="26">D230</f>
        <v>59259</v>
      </c>
      <c r="F37" s="751" t="s">
        <v>13758</v>
      </c>
    </row>
    <row r="38" spans="1:9" ht="15" thickBot="1">
      <c r="D38" s="754">
        <f t="shared" ref="D38" si="27">D36+D37</f>
        <v>72505</v>
      </c>
    </row>
    <row r="39" spans="1:9">
      <c r="D39" s="755"/>
    </row>
    <row r="40" spans="1:9">
      <c r="A40" s="751" t="s">
        <v>1041</v>
      </c>
      <c r="D40" s="753">
        <f t="shared" ref="D40" si="28">D13+D17+D19+D23+D27+D29+D34+D38</f>
        <v>587676</v>
      </c>
    </row>
    <row r="41" spans="1:9">
      <c r="D41" s="755"/>
    </row>
    <row r="42" spans="1:9">
      <c r="A42" s="751" t="s">
        <v>13770</v>
      </c>
      <c r="D42" s="757"/>
    </row>
    <row r="43" spans="1:9">
      <c r="A43" s="758"/>
    </row>
    <row r="44" spans="1:9">
      <c r="A44" s="751"/>
    </row>
    <row r="45" spans="1:9">
      <c r="D45" s="10" t="s">
        <v>285</v>
      </c>
      <c r="E45" s="11"/>
      <c r="F45" s="5" t="s">
        <v>4116</v>
      </c>
    </row>
    <row r="46" spans="1:9">
      <c r="D46" s="10">
        <v>2016</v>
      </c>
      <c r="F46" s="12" t="s">
        <v>286</v>
      </c>
    </row>
    <row r="47" spans="1:9">
      <c r="A47" s="751" t="s">
        <v>13750</v>
      </c>
      <c r="C47" s="751"/>
      <c r="D47" s="753">
        <f t="shared" ref="D47" si="29">SUM(D48:D65)</f>
        <v>82150</v>
      </c>
    </row>
    <row r="48" spans="1:9">
      <c r="A48" s="751" t="s">
        <v>812</v>
      </c>
      <c r="B48" s="751" t="s">
        <v>13771</v>
      </c>
      <c r="C48" s="292" t="s">
        <v>13772</v>
      </c>
      <c r="D48" s="293">
        <v>3967</v>
      </c>
      <c r="F48" s="751" t="s">
        <v>13768</v>
      </c>
      <c r="G48" s="292"/>
      <c r="I48" s="292"/>
    </row>
    <row r="49" spans="1:9">
      <c r="A49" s="751" t="s">
        <v>813</v>
      </c>
      <c r="B49" s="751" t="s">
        <v>13773</v>
      </c>
      <c r="C49" s="292" t="s">
        <v>13774</v>
      </c>
      <c r="D49" s="295">
        <v>6444</v>
      </c>
      <c r="F49" s="751" t="s">
        <v>13768</v>
      </c>
      <c r="G49" s="292"/>
      <c r="I49" s="292"/>
    </row>
    <row r="50" spans="1:9">
      <c r="A50" s="751" t="s">
        <v>814</v>
      </c>
      <c r="B50" s="751" t="s">
        <v>13775</v>
      </c>
      <c r="C50" s="292" t="s">
        <v>13776</v>
      </c>
      <c r="D50" s="293">
        <v>4110</v>
      </c>
      <c r="F50" s="751" t="s">
        <v>13756</v>
      </c>
      <c r="G50" s="292"/>
      <c r="I50" s="292"/>
    </row>
    <row r="51" spans="1:9">
      <c r="A51" s="751" t="s">
        <v>815</v>
      </c>
      <c r="B51" s="751" t="s">
        <v>13777</v>
      </c>
      <c r="C51" s="292" t="s">
        <v>13778</v>
      </c>
      <c r="D51" s="293">
        <v>3797</v>
      </c>
      <c r="F51" s="751" t="s">
        <v>13756</v>
      </c>
      <c r="G51" s="292"/>
      <c r="I51" s="292"/>
    </row>
    <row r="52" spans="1:9">
      <c r="A52" s="751" t="s">
        <v>816</v>
      </c>
      <c r="B52" s="751" t="s">
        <v>13779</v>
      </c>
      <c r="C52" s="292" t="s">
        <v>13780</v>
      </c>
      <c r="D52" s="293">
        <v>3852</v>
      </c>
      <c r="F52" s="751" t="s">
        <v>13756</v>
      </c>
      <c r="G52" s="292"/>
      <c r="I52" s="292"/>
    </row>
    <row r="53" spans="1:9">
      <c r="A53" s="751" t="s">
        <v>826</v>
      </c>
      <c r="B53" s="751" t="s">
        <v>13781</v>
      </c>
      <c r="C53" s="292" t="s">
        <v>13782</v>
      </c>
      <c r="D53" s="293">
        <v>5575</v>
      </c>
      <c r="F53" s="751" t="s">
        <v>13756</v>
      </c>
      <c r="G53" s="292"/>
      <c r="I53" s="292"/>
    </row>
    <row r="54" spans="1:9">
      <c r="A54" s="751" t="s">
        <v>827</v>
      </c>
      <c r="B54" s="751" t="s">
        <v>13783</v>
      </c>
      <c r="C54" s="292" t="s">
        <v>13784</v>
      </c>
      <c r="D54" s="293">
        <v>3932</v>
      </c>
      <c r="F54" s="751" t="s">
        <v>13756</v>
      </c>
      <c r="G54" s="292"/>
      <c r="I54" s="292"/>
    </row>
    <row r="55" spans="1:9">
      <c r="A55" s="751" t="s">
        <v>828</v>
      </c>
      <c r="B55" s="751" t="s">
        <v>13785</v>
      </c>
      <c r="C55" s="292" t="s">
        <v>13786</v>
      </c>
      <c r="D55" s="293">
        <v>4928</v>
      </c>
      <c r="F55" s="751" t="s">
        <v>13756</v>
      </c>
      <c r="G55" s="292"/>
      <c r="I55" s="292"/>
    </row>
    <row r="56" spans="1:9">
      <c r="A56" s="751" t="s">
        <v>829</v>
      </c>
      <c r="B56" s="751" t="s">
        <v>13787</v>
      </c>
      <c r="C56" s="292" t="s">
        <v>13788</v>
      </c>
      <c r="D56" s="293">
        <v>3577</v>
      </c>
      <c r="F56" s="751" t="s">
        <v>13756</v>
      </c>
      <c r="G56" s="292"/>
      <c r="I56" s="292"/>
    </row>
    <row r="57" spans="1:9">
      <c r="A57" s="751" t="s">
        <v>830</v>
      </c>
      <c r="B57" s="751" t="s">
        <v>9944</v>
      </c>
      <c r="C57" s="292" t="s">
        <v>13789</v>
      </c>
      <c r="D57" s="293">
        <v>5778</v>
      </c>
      <c r="F57" s="751" t="s">
        <v>13756</v>
      </c>
      <c r="G57" s="292"/>
      <c r="I57" s="292"/>
    </row>
    <row r="58" spans="1:9">
      <c r="A58" s="751" t="s">
        <v>831</v>
      </c>
      <c r="B58" s="751" t="s">
        <v>13790</v>
      </c>
      <c r="C58" s="292" t="s">
        <v>13791</v>
      </c>
      <c r="D58" s="293">
        <v>6112</v>
      </c>
      <c r="F58" s="751" t="s">
        <v>13756</v>
      </c>
      <c r="G58" s="292"/>
      <c r="I58" s="292"/>
    </row>
    <row r="59" spans="1:9">
      <c r="A59" s="751" t="s">
        <v>832</v>
      </c>
      <c r="B59" s="751" t="s">
        <v>13792</v>
      </c>
      <c r="C59" s="292" t="s">
        <v>13793</v>
      </c>
      <c r="D59" s="293">
        <v>3995</v>
      </c>
      <c r="F59" s="751" t="s">
        <v>13756</v>
      </c>
      <c r="G59" s="292"/>
      <c r="I59" s="292"/>
    </row>
    <row r="60" spans="1:9">
      <c r="A60" s="751" t="s">
        <v>833</v>
      </c>
      <c r="B60" s="751" t="s">
        <v>13794</v>
      </c>
      <c r="C60" s="292" t="s">
        <v>13795</v>
      </c>
      <c r="D60" s="293">
        <v>3974</v>
      </c>
      <c r="F60" s="751" t="s">
        <v>13756</v>
      </c>
      <c r="G60" s="292"/>
      <c r="I60" s="292"/>
    </row>
    <row r="61" spans="1:9">
      <c r="A61" s="751" t="s">
        <v>834</v>
      </c>
      <c r="B61" s="751" t="s">
        <v>13796</v>
      </c>
      <c r="C61" s="292" t="s">
        <v>13797</v>
      </c>
      <c r="D61" s="293">
        <v>3814</v>
      </c>
      <c r="F61" s="751" t="s">
        <v>13756</v>
      </c>
      <c r="G61" s="292"/>
      <c r="I61" s="292"/>
    </row>
    <row r="62" spans="1:9">
      <c r="A62" s="751" t="s">
        <v>835</v>
      </c>
      <c r="B62" s="751" t="s">
        <v>13798</v>
      </c>
      <c r="C62" s="292" t="s">
        <v>13799</v>
      </c>
      <c r="D62" s="293">
        <v>5454</v>
      </c>
      <c r="F62" s="751" t="s">
        <v>13756</v>
      </c>
      <c r="G62" s="292"/>
      <c r="I62" s="292"/>
    </row>
    <row r="63" spans="1:9">
      <c r="A63" s="751" t="s">
        <v>836</v>
      </c>
      <c r="B63" s="751" t="s">
        <v>13800</v>
      </c>
      <c r="C63" s="292" t="s">
        <v>13801</v>
      </c>
      <c r="D63" s="295">
        <v>5755</v>
      </c>
      <c r="F63" s="751" t="s">
        <v>13768</v>
      </c>
      <c r="G63" s="292"/>
      <c r="I63" s="292"/>
    </row>
    <row r="64" spans="1:9">
      <c r="A64" s="751" t="s">
        <v>837</v>
      </c>
      <c r="B64" s="751" t="s">
        <v>13802</v>
      </c>
      <c r="C64" s="292" t="s">
        <v>13803</v>
      </c>
      <c r="D64" s="293">
        <v>3203</v>
      </c>
      <c r="F64" s="751" t="s">
        <v>13756</v>
      </c>
      <c r="G64" s="292"/>
      <c r="I64" s="292"/>
    </row>
    <row r="65" spans="1:9">
      <c r="A65" s="751" t="s">
        <v>838</v>
      </c>
      <c r="B65" s="751" t="s">
        <v>13804</v>
      </c>
      <c r="C65" s="292" t="s">
        <v>13805</v>
      </c>
      <c r="D65" s="295">
        <v>3883</v>
      </c>
      <c r="F65" s="751" t="s">
        <v>13768</v>
      </c>
      <c r="G65" s="292"/>
      <c r="I65" s="292"/>
    </row>
    <row r="66" spans="1:9">
      <c r="D66" s="756"/>
      <c r="F66" s="751"/>
    </row>
    <row r="67" spans="1:9">
      <c r="A67" s="751" t="s">
        <v>13806</v>
      </c>
      <c r="D67" s="753">
        <f t="shared" ref="D67" si="30">SUM(D50:D62)+D64</f>
        <v>62101</v>
      </c>
    </row>
    <row r="68" spans="1:9">
      <c r="A68" s="751" t="s">
        <v>13807</v>
      </c>
      <c r="D68" s="753">
        <f t="shared" ref="D68" si="31">D48+D49+D63+D65</f>
        <v>20049</v>
      </c>
    </row>
    <row r="70" spans="1:9">
      <c r="A70" s="751" t="s">
        <v>13808</v>
      </c>
    </row>
    <row r="71" spans="1:9">
      <c r="A71" s="751"/>
    </row>
    <row r="72" spans="1:9">
      <c r="A72" s="751"/>
    </row>
    <row r="73" spans="1:9">
      <c r="D73" s="10" t="s">
        <v>285</v>
      </c>
      <c r="E73" s="11"/>
      <c r="F73" s="5" t="s">
        <v>4116</v>
      </c>
    </row>
    <row r="74" spans="1:9">
      <c r="D74" s="10">
        <v>2016</v>
      </c>
      <c r="F74" s="12" t="s">
        <v>286</v>
      </c>
    </row>
    <row r="75" spans="1:9">
      <c r="A75" s="751" t="s">
        <v>13751</v>
      </c>
      <c r="D75" s="759">
        <f t="shared" ref="D75" si="32">SUM(D76:D91)</f>
        <v>95878</v>
      </c>
    </row>
    <row r="76" spans="1:9">
      <c r="A76" s="751" t="s">
        <v>812</v>
      </c>
      <c r="B76" s="751" t="s">
        <v>998</v>
      </c>
      <c r="C76" s="292" t="s">
        <v>13809</v>
      </c>
      <c r="D76" s="293">
        <v>6707</v>
      </c>
      <c r="F76" s="751" t="s">
        <v>13763</v>
      </c>
      <c r="G76" s="292"/>
      <c r="I76" s="292"/>
    </row>
    <row r="77" spans="1:9">
      <c r="A77" s="751" t="s">
        <v>813</v>
      </c>
      <c r="B77" s="751" t="s">
        <v>13810</v>
      </c>
      <c r="C77" s="292" t="s">
        <v>13811</v>
      </c>
      <c r="D77" s="293">
        <v>5780</v>
      </c>
      <c r="F77" s="751" t="s">
        <v>13765</v>
      </c>
      <c r="G77" s="292"/>
      <c r="I77" s="292"/>
    </row>
    <row r="78" spans="1:9">
      <c r="A78" s="751" t="s">
        <v>814</v>
      </c>
      <c r="B78" s="751" t="s">
        <v>13812</v>
      </c>
      <c r="C78" s="292" t="s">
        <v>13813</v>
      </c>
      <c r="D78" s="293">
        <v>6592</v>
      </c>
      <c r="F78" s="751" t="s">
        <v>13763</v>
      </c>
      <c r="G78" s="292"/>
      <c r="I78" s="292"/>
    </row>
    <row r="79" spans="1:9">
      <c r="A79" s="751" t="s">
        <v>815</v>
      </c>
      <c r="B79" s="751" t="s">
        <v>12428</v>
      </c>
      <c r="C79" s="292" t="s">
        <v>13814</v>
      </c>
      <c r="D79" s="293">
        <v>5476</v>
      </c>
      <c r="F79" s="751" t="s">
        <v>13763</v>
      </c>
      <c r="G79" s="292"/>
      <c r="I79" s="292"/>
    </row>
    <row r="80" spans="1:9">
      <c r="A80" s="751" t="s">
        <v>816</v>
      </c>
      <c r="B80" s="751" t="s">
        <v>13815</v>
      </c>
      <c r="C80" s="292" t="s">
        <v>13816</v>
      </c>
      <c r="D80" s="293">
        <v>5262</v>
      </c>
      <c r="F80" s="751" t="s">
        <v>13763</v>
      </c>
      <c r="G80" s="292"/>
      <c r="I80" s="292"/>
    </row>
    <row r="81" spans="1:9">
      <c r="A81" s="751" t="s">
        <v>826</v>
      </c>
      <c r="B81" s="751" t="s">
        <v>13817</v>
      </c>
      <c r="C81" s="292" t="s">
        <v>13818</v>
      </c>
      <c r="D81" s="293">
        <v>6601</v>
      </c>
      <c r="F81" s="751" t="s">
        <v>13765</v>
      </c>
      <c r="G81" s="292"/>
      <c r="I81" s="292"/>
    </row>
    <row r="82" spans="1:9">
      <c r="A82" s="751" t="s">
        <v>827</v>
      </c>
      <c r="B82" s="751" t="s">
        <v>13819</v>
      </c>
      <c r="C82" s="292" t="s">
        <v>13820</v>
      </c>
      <c r="D82" s="293">
        <v>2392</v>
      </c>
      <c r="F82" s="751" t="s">
        <v>13765</v>
      </c>
      <c r="G82" s="292"/>
      <c r="I82" s="292"/>
    </row>
    <row r="83" spans="1:9">
      <c r="A83" s="751" t="s">
        <v>828</v>
      </c>
      <c r="B83" s="751" t="s">
        <v>5082</v>
      </c>
      <c r="C83" s="292" t="s">
        <v>13821</v>
      </c>
      <c r="D83" s="293">
        <v>6208</v>
      </c>
      <c r="F83" s="751" t="s">
        <v>13765</v>
      </c>
      <c r="G83" s="292"/>
      <c r="I83" s="292"/>
    </row>
    <row r="84" spans="1:9">
      <c r="A84" s="751" t="s">
        <v>829</v>
      </c>
      <c r="B84" s="751" t="s">
        <v>13822</v>
      </c>
      <c r="C84" s="292" t="s">
        <v>13823</v>
      </c>
      <c r="D84" s="293">
        <v>6568</v>
      </c>
      <c r="F84" s="751" t="s">
        <v>13765</v>
      </c>
      <c r="G84" s="292"/>
      <c r="I84" s="292"/>
    </row>
    <row r="85" spans="1:9">
      <c r="A85" s="751" t="s">
        <v>830</v>
      </c>
      <c r="B85" s="751" t="s">
        <v>303</v>
      </c>
      <c r="C85" s="292" t="s">
        <v>13824</v>
      </c>
      <c r="D85" s="293">
        <v>5587</v>
      </c>
      <c r="F85" s="751" t="s">
        <v>13763</v>
      </c>
      <c r="G85" s="292"/>
      <c r="I85" s="292"/>
    </row>
    <row r="86" spans="1:9">
      <c r="A86" s="751" t="s">
        <v>831</v>
      </c>
      <c r="B86" s="751" t="s">
        <v>13825</v>
      </c>
      <c r="C86" s="292" t="s">
        <v>13826</v>
      </c>
      <c r="D86" s="293">
        <v>7122</v>
      </c>
      <c r="F86" s="751" t="s">
        <v>13763</v>
      </c>
      <c r="G86" s="292"/>
      <c r="I86" s="292"/>
    </row>
    <row r="87" spans="1:9">
      <c r="A87" s="751" t="s">
        <v>832</v>
      </c>
      <c r="B87" s="751" t="s">
        <v>13827</v>
      </c>
      <c r="C87" s="292" t="s">
        <v>13828</v>
      </c>
      <c r="D87" s="293">
        <v>4492</v>
      </c>
      <c r="F87" s="751" t="s">
        <v>13763</v>
      </c>
      <c r="G87" s="292"/>
      <c r="I87" s="292"/>
    </row>
    <row r="88" spans="1:9">
      <c r="A88" s="751" t="s">
        <v>833</v>
      </c>
      <c r="B88" s="751" t="s">
        <v>13829</v>
      </c>
      <c r="C88" s="292" t="s">
        <v>13830</v>
      </c>
      <c r="D88" s="293">
        <v>6022</v>
      </c>
      <c r="F88" s="751" t="s">
        <v>13765</v>
      </c>
      <c r="G88" s="292"/>
      <c r="I88" s="292"/>
    </row>
    <row r="89" spans="1:9">
      <c r="A89" s="751" t="s">
        <v>834</v>
      </c>
      <c r="B89" s="751" t="s">
        <v>9207</v>
      </c>
      <c r="C89" s="292" t="s">
        <v>13831</v>
      </c>
      <c r="D89" s="293">
        <v>6969</v>
      </c>
      <c r="F89" s="751" t="s">
        <v>13763</v>
      </c>
      <c r="G89" s="292"/>
      <c r="I89" s="292"/>
    </row>
    <row r="90" spans="1:9">
      <c r="A90" s="751" t="s">
        <v>835</v>
      </c>
      <c r="B90" s="751" t="s">
        <v>13832</v>
      </c>
      <c r="C90" s="292" t="s">
        <v>13833</v>
      </c>
      <c r="D90" s="293">
        <v>6763</v>
      </c>
      <c r="F90" s="751" t="s">
        <v>13765</v>
      </c>
      <c r="G90" s="292"/>
      <c r="I90" s="292"/>
    </row>
    <row r="91" spans="1:9">
      <c r="A91" s="760">
        <v>16</v>
      </c>
      <c r="B91" s="751" t="s">
        <v>11152</v>
      </c>
      <c r="C91" s="292" t="s">
        <v>13834</v>
      </c>
      <c r="D91" s="295">
        <v>7337</v>
      </c>
      <c r="F91" s="751" t="s">
        <v>13765</v>
      </c>
      <c r="G91" s="292"/>
      <c r="I91" s="292"/>
    </row>
    <row r="92" spans="1:9">
      <c r="D92" s="755"/>
    </row>
    <row r="93" spans="1:9">
      <c r="A93" s="751" t="s">
        <v>13835</v>
      </c>
      <c r="D93" s="753">
        <f>D76+SUM(D78:D80)+SUM(D85:D87)+D89</f>
        <v>48207</v>
      </c>
    </row>
    <row r="94" spans="1:9">
      <c r="A94" s="751" t="s">
        <v>13836</v>
      </c>
      <c r="D94" s="753">
        <f>D77+SUM(D81:D84)+D88+D90+D91</f>
        <v>47671</v>
      </c>
    </row>
    <row r="95" spans="1:9">
      <c r="A95" s="751"/>
      <c r="B95" s="751"/>
      <c r="D95" s="761"/>
    </row>
    <row r="96" spans="1:9">
      <c r="A96" s="751" t="s">
        <v>13837</v>
      </c>
      <c r="B96" s="751"/>
      <c r="D96" s="761"/>
    </row>
    <row r="97" spans="1:9">
      <c r="A97" s="751"/>
      <c r="B97" s="751"/>
      <c r="D97" s="761"/>
    </row>
    <row r="98" spans="1:9">
      <c r="A98" s="751"/>
      <c r="B98" s="751"/>
      <c r="D98" s="761"/>
    </row>
    <row r="99" spans="1:9">
      <c r="D99" s="10" t="s">
        <v>285</v>
      </c>
      <c r="E99" s="11"/>
      <c r="F99" s="5" t="s">
        <v>4116</v>
      </c>
    </row>
    <row r="100" spans="1:9">
      <c r="D100" s="10">
        <v>2016</v>
      </c>
      <c r="F100" s="12" t="s">
        <v>286</v>
      </c>
    </row>
    <row r="101" spans="1:9">
      <c r="A101" s="751" t="s">
        <v>13752</v>
      </c>
      <c r="D101" s="759">
        <f t="shared" ref="D101" si="33">SUM(D102:D116)</f>
        <v>80072</v>
      </c>
    </row>
    <row r="102" spans="1:9">
      <c r="A102" s="751" t="s">
        <v>812</v>
      </c>
      <c r="B102" s="751" t="s">
        <v>13838</v>
      </c>
      <c r="C102" s="306" t="s">
        <v>13839</v>
      </c>
      <c r="D102" s="316">
        <v>5428</v>
      </c>
      <c r="F102" s="751" t="s">
        <v>13766</v>
      </c>
      <c r="H102" s="306"/>
      <c r="I102" s="292"/>
    </row>
    <row r="103" spans="1:9">
      <c r="A103" s="751" t="s">
        <v>813</v>
      </c>
      <c r="B103" s="751" t="s">
        <v>13840</v>
      </c>
      <c r="C103" s="306" t="s">
        <v>13841</v>
      </c>
      <c r="D103" s="316">
        <v>5538</v>
      </c>
      <c r="F103" s="751" t="s">
        <v>13766</v>
      </c>
      <c r="H103" s="306"/>
      <c r="I103" s="292"/>
    </row>
    <row r="104" spans="1:9">
      <c r="A104" s="751" t="s">
        <v>814</v>
      </c>
      <c r="B104" s="751" t="s">
        <v>888</v>
      </c>
      <c r="C104" s="306" t="s">
        <v>13842</v>
      </c>
      <c r="D104" s="316">
        <v>5045</v>
      </c>
      <c r="F104" s="751" t="s">
        <v>13766</v>
      </c>
      <c r="H104" s="306"/>
      <c r="I104" s="292"/>
    </row>
    <row r="105" spans="1:9">
      <c r="A105" s="751" t="s">
        <v>815</v>
      </c>
      <c r="B105" s="751" t="s">
        <v>13843</v>
      </c>
      <c r="C105" s="306" t="s">
        <v>13844</v>
      </c>
      <c r="D105" s="316">
        <v>5351</v>
      </c>
      <c r="F105" s="751" t="s">
        <v>13768</v>
      </c>
      <c r="H105" s="306"/>
      <c r="I105" s="292"/>
    </row>
    <row r="106" spans="1:9">
      <c r="A106" s="751" t="s">
        <v>816</v>
      </c>
      <c r="B106" s="751" t="s">
        <v>13845</v>
      </c>
      <c r="C106" s="306" t="s">
        <v>13846</v>
      </c>
      <c r="D106" s="316">
        <v>6195</v>
      </c>
      <c r="F106" s="751" t="s">
        <v>13766</v>
      </c>
      <c r="H106" s="306"/>
      <c r="I106" s="292"/>
    </row>
    <row r="107" spans="1:9">
      <c r="A107" s="751" t="s">
        <v>826</v>
      </c>
      <c r="B107" s="751" t="s">
        <v>13847</v>
      </c>
      <c r="C107" s="306" t="s">
        <v>13848</v>
      </c>
      <c r="D107" s="316">
        <v>6182</v>
      </c>
      <c r="F107" s="751" t="s">
        <v>13766</v>
      </c>
      <c r="H107" s="306"/>
      <c r="I107" s="292"/>
    </row>
    <row r="108" spans="1:9">
      <c r="A108" s="751" t="s">
        <v>827</v>
      </c>
      <c r="B108" s="751" t="s">
        <v>13849</v>
      </c>
      <c r="C108" s="306" t="s">
        <v>13850</v>
      </c>
      <c r="D108" s="316">
        <v>3404</v>
      </c>
      <c r="F108" s="751" t="s">
        <v>13768</v>
      </c>
      <c r="H108" s="306"/>
      <c r="I108" s="292"/>
    </row>
    <row r="109" spans="1:9">
      <c r="A109" s="751" t="s">
        <v>828</v>
      </c>
      <c r="B109" s="751" t="s">
        <v>13851</v>
      </c>
      <c r="C109" s="306" t="s">
        <v>13852</v>
      </c>
      <c r="D109" s="316">
        <v>5028</v>
      </c>
      <c r="F109" s="751" t="s">
        <v>13766</v>
      </c>
      <c r="H109" s="306"/>
      <c r="I109" s="292"/>
    </row>
    <row r="110" spans="1:9">
      <c r="A110" s="751" t="s">
        <v>829</v>
      </c>
      <c r="B110" s="751" t="s">
        <v>13853</v>
      </c>
      <c r="C110" s="306" t="s">
        <v>13854</v>
      </c>
      <c r="D110" s="316">
        <v>5423</v>
      </c>
      <c r="F110" s="751" t="s">
        <v>13766</v>
      </c>
      <c r="H110" s="306"/>
      <c r="I110" s="292"/>
    </row>
    <row r="111" spans="1:9">
      <c r="A111" s="751" t="s">
        <v>830</v>
      </c>
      <c r="B111" s="751" t="s">
        <v>13855</v>
      </c>
      <c r="C111" s="306" t="s">
        <v>13856</v>
      </c>
      <c r="D111" s="316">
        <v>2142</v>
      </c>
      <c r="F111" s="751" t="s">
        <v>13766</v>
      </c>
      <c r="H111" s="306"/>
      <c r="I111" s="292"/>
    </row>
    <row r="112" spans="1:9">
      <c r="A112" s="751" t="s">
        <v>831</v>
      </c>
      <c r="B112" s="751" t="s">
        <v>13857</v>
      </c>
      <c r="C112" s="306" t="s">
        <v>13858</v>
      </c>
      <c r="D112" s="316">
        <v>6167</v>
      </c>
      <c r="F112" s="751" t="s">
        <v>13766</v>
      </c>
      <c r="H112" s="306"/>
      <c r="I112" s="292"/>
    </row>
    <row r="113" spans="1:9">
      <c r="A113" s="751" t="s">
        <v>832</v>
      </c>
      <c r="B113" s="751" t="s">
        <v>13859</v>
      </c>
      <c r="C113" s="306" t="s">
        <v>13860</v>
      </c>
      <c r="D113" s="316">
        <v>6208</v>
      </c>
      <c r="F113" s="751" t="s">
        <v>13766</v>
      </c>
      <c r="H113" s="306"/>
      <c r="I113" s="292"/>
    </row>
    <row r="114" spans="1:9">
      <c r="A114" s="751" t="s">
        <v>833</v>
      </c>
      <c r="B114" s="751" t="s">
        <v>13861</v>
      </c>
      <c r="C114" s="306" t="s">
        <v>13862</v>
      </c>
      <c r="D114" s="316">
        <v>6301</v>
      </c>
      <c r="F114" s="751" t="s">
        <v>13766</v>
      </c>
      <c r="H114" s="306"/>
      <c r="I114" s="292"/>
    </row>
    <row r="115" spans="1:9">
      <c r="A115" s="751" t="s">
        <v>834</v>
      </c>
      <c r="B115" s="751" t="s">
        <v>5493</v>
      </c>
      <c r="C115" s="306" t="s">
        <v>13863</v>
      </c>
      <c r="D115" s="316">
        <v>5803</v>
      </c>
      <c r="F115" s="751" t="s">
        <v>13766</v>
      </c>
      <c r="H115" s="306"/>
      <c r="I115" s="292"/>
    </row>
    <row r="116" spans="1:9">
      <c r="A116" s="751" t="s">
        <v>835</v>
      </c>
      <c r="B116" s="751" t="s">
        <v>13864</v>
      </c>
      <c r="C116" s="306" t="s">
        <v>13865</v>
      </c>
      <c r="D116" s="316">
        <v>5857</v>
      </c>
      <c r="F116" s="751" t="s">
        <v>13766</v>
      </c>
      <c r="H116" s="306"/>
      <c r="I116" s="292"/>
    </row>
    <row r="118" spans="1:9">
      <c r="A118" s="751" t="s">
        <v>13766</v>
      </c>
      <c r="D118" s="753">
        <f>SUM(D102:D104)+D106+D107+SUM(D109:D116)</f>
        <v>71317</v>
      </c>
    </row>
    <row r="119" spans="1:9">
      <c r="A119" s="751" t="s">
        <v>13807</v>
      </c>
      <c r="D119" s="753">
        <f>D105+D108</f>
        <v>8755</v>
      </c>
    </row>
    <row r="121" spans="1:9">
      <c r="A121" s="751" t="s">
        <v>13866</v>
      </c>
    </row>
    <row r="122" spans="1:9">
      <c r="A122" s="751"/>
    </row>
    <row r="123" spans="1:9">
      <c r="A123" s="751"/>
    </row>
    <row r="124" spans="1:9">
      <c r="D124" s="10" t="s">
        <v>285</v>
      </c>
      <c r="E124" s="11"/>
      <c r="F124" s="5" t="s">
        <v>4116</v>
      </c>
    </row>
    <row r="125" spans="1:9">
      <c r="D125" s="10">
        <v>2016</v>
      </c>
      <c r="F125" s="12" t="s">
        <v>286</v>
      </c>
    </row>
    <row r="126" spans="1:9">
      <c r="A126" s="751" t="s">
        <v>13753</v>
      </c>
      <c r="D126" s="753">
        <f t="shared" ref="D126" si="34">SUM(D127:D149)+SUM(D150:D156)</f>
        <v>114469</v>
      </c>
    </row>
    <row r="127" spans="1:9">
      <c r="A127" s="751" t="s">
        <v>812</v>
      </c>
      <c r="B127" s="751" t="s">
        <v>13867</v>
      </c>
      <c r="C127" s="292" t="s">
        <v>13868</v>
      </c>
      <c r="D127" s="293">
        <v>2170</v>
      </c>
      <c r="F127" s="751" t="s">
        <v>13769</v>
      </c>
      <c r="G127" s="292"/>
      <c r="I127" s="292"/>
    </row>
    <row r="128" spans="1:9">
      <c r="A128" s="751" t="s">
        <v>813</v>
      </c>
      <c r="B128" s="751" t="s">
        <v>6775</v>
      </c>
      <c r="C128" s="292" t="s">
        <v>13869</v>
      </c>
      <c r="D128" s="293">
        <v>2459</v>
      </c>
      <c r="F128" s="751" t="s">
        <v>13761</v>
      </c>
      <c r="G128" s="292"/>
      <c r="I128" s="292"/>
    </row>
    <row r="129" spans="1:9">
      <c r="A129" s="751" t="s">
        <v>814</v>
      </c>
      <c r="B129" s="751" t="s">
        <v>13870</v>
      </c>
      <c r="C129" s="292" t="s">
        <v>13871</v>
      </c>
      <c r="D129" s="295">
        <v>6085</v>
      </c>
      <c r="F129" s="751" t="s">
        <v>13765</v>
      </c>
      <c r="G129" s="292"/>
      <c r="I129" s="292"/>
    </row>
    <row r="130" spans="1:9">
      <c r="A130" s="751" t="s">
        <v>815</v>
      </c>
      <c r="B130" s="751" t="s">
        <v>13872</v>
      </c>
      <c r="C130" s="292" t="s">
        <v>13873</v>
      </c>
      <c r="D130" s="293">
        <v>4767</v>
      </c>
      <c r="F130" s="751" t="s">
        <v>13761</v>
      </c>
      <c r="G130" s="292"/>
      <c r="I130" s="292"/>
    </row>
    <row r="131" spans="1:9">
      <c r="A131" s="751" t="s">
        <v>816</v>
      </c>
      <c r="B131" s="751" t="s">
        <v>13874</v>
      </c>
      <c r="C131" s="292" t="s">
        <v>13875</v>
      </c>
      <c r="D131" s="295">
        <v>4497</v>
      </c>
      <c r="F131" s="751" t="s">
        <v>13769</v>
      </c>
      <c r="G131" s="292"/>
      <c r="I131" s="292"/>
    </row>
    <row r="132" spans="1:9">
      <c r="A132" s="751" t="s">
        <v>826</v>
      </c>
      <c r="B132" s="751" t="s">
        <v>13876</v>
      </c>
      <c r="C132" s="292" t="s">
        <v>13877</v>
      </c>
      <c r="D132" s="295">
        <v>6596</v>
      </c>
      <c r="F132" s="751" t="s">
        <v>13765</v>
      </c>
      <c r="G132" s="292"/>
      <c r="I132" s="292"/>
    </row>
    <row r="133" spans="1:9">
      <c r="A133" s="751" t="s">
        <v>827</v>
      </c>
      <c r="B133" s="751" t="s">
        <v>13878</v>
      </c>
      <c r="C133" s="292" t="s">
        <v>13879</v>
      </c>
      <c r="D133" s="293">
        <v>1790</v>
      </c>
      <c r="F133" s="751" t="s">
        <v>13761</v>
      </c>
      <c r="G133" s="292"/>
      <c r="I133" s="292"/>
    </row>
    <row r="134" spans="1:9">
      <c r="A134" s="751" t="s">
        <v>828</v>
      </c>
      <c r="B134" s="751" t="s">
        <v>13880</v>
      </c>
      <c r="C134" s="292" t="s">
        <v>13881</v>
      </c>
      <c r="D134" s="293">
        <v>4461</v>
      </c>
      <c r="F134" s="751" t="s">
        <v>13761</v>
      </c>
      <c r="G134" s="292"/>
      <c r="I134" s="292"/>
    </row>
    <row r="135" spans="1:9">
      <c r="A135" s="751" t="s">
        <v>829</v>
      </c>
      <c r="B135" s="751" t="s">
        <v>13882</v>
      </c>
      <c r="C135" s="292" t="s">
        <v>13883</v>
      </c>
      <c r="D135" s="293">
        <v>2344</v>
      </c>
      <c r="F135" s="751" t="s">
        <v>13761</v>
      </c>
      <c r="G135" s="292"/>
      <c r="I135" s="292"/>
    </row>
    <row r="136" spans="1:9">
      <c r="A136" s="751" t="s">
        <v>830</v>
      </c>
      <c r="B136" s="751" t="s">
        <v>516</v>
      </c>
      <c r="C136" s="292" t="s">
        <v>13884</v>
      </c>
      <c r="D136" s="293">
        <v>2346</v>
      </c>
      <c r="F136" s="751" t="s">
        <v>13761</v>
      </c>
      <c r="G136" s="292"/>
      <c r="I136" s="292"/>
    </row>
    <row r="137" spans="1:9">
      <c r="A137" s="751" t="s">
        <v>831</v>
      </c>
      <c r="B137" s="751" t="s">
        <v>13885</v>
      </c>
      <c r="C137" s="292" t="s">
        <v>13886</v>
      </c>
      <c r="D137" s="293">
        <v>2415</v>
      </c>
      <c r="F137" s="751" t="s">
        <v>13761</v>
      </c>
      <c r="G137" s="292"/>
      <c r="I137" s="292"/>
    </row>
    <row r="138" spans="1:9">
      <c r="A138" s="751" t="s">
        <v>832</v>
      </c>
      <c r="B138" s="751" t="s">
        <v>13887</v>
      </c>
      <c r="C138" s="292" t="s">
        <v>13888</v>
      </c>
      <c r="D138" s="293">
        <v>4839</v>
      </c>
      <c r="F138" s="751" t="s">
        <v>13761</v>
      </c>
      <c r="G138" s="292"/>
      <c r="I138" s="292"/>
    </row>
    <row r="139" spans="1:9">
      <c r="A139" s="751" t="s">
        <v>833</v>
      </c>
      <c r="B139" s="751" t="s">
        <v>13889</v>
      </c>
      <c r="C139" s="292" t="s">
        <v>13890</v>
      </c>
      <c r="D139" s="293">
        <v>4493</v>
      </c>
      <c r="F139" s="751" t="s">
        <v>13761</v>
      </c>
      <c r="G139" s="292"/>
      <c r="I139" s="292"/>
    </row>
    <row r="140" spans="1:9">
      <c r="A140" s="751" t="s">
        <v>834</v>
      </c>
      <c r="B140" s="751" t="s">
        <v>13891</v>
      </c>
      <c r="C140" s="292" t="s">
        <v>13892</v>
      </c>
      <c r="D140" s="293">
        <v>4271</v>
      </c>
      <c r="F140" s="751" t="s">
        <v>13761</v>
      </c>
      <c r="G140" s="292"/>
      <c r="I140" s="292"/>
    </row>
    <row r="141" spans="1:9">
      <c r="A141" s="751" t="s">
        <v>835</v>
      </c>
      <c r="B141" s="751" t="s">
        <v>13893</v>
      </c>
      <c r="C141" s="292" t="s">
        <v>13894</v>
      </c>
      <c r="D141" s="293">
        <v>3947</v>
      </c>
      <c r="F141" s="751" t="s">
        <v>13761</v>
      </c>
      <c r="G141" s="292"/>
      <c r="I141" s="292"/>
    </row>
    <row r="142" spans="1:9">
      <c r="A142" s="751" t="s">
        <v>836</v>
      </c>
      <c r="B142" s="751" t="s">
        <v>13895</v>
      </c>
      <c r="C142" s="292" t="s">
        <v>13896</v>
      </c>
      <c r="D142" s="293">
        <v>4232</v>
      </c>
      <c r="F142" s="751" t="s">
        <v>13761</v>
      </c>
      <c r="G142" s="292"/>
      <c r="I142" s="292"/>
    </row>
    <row r="143" spans="1:9">
      <c r="A143" s="751" t="s">
        <v>837</v>
      </c>
      <c r="B143" s="751" t="s">
        <v>2463</v>
      </c>
      <c r="C143" s="292" t="s">
        <v>13897</v>
      </c>
      <c r="D143" s="295">
        <v>4364</v>
      </c>
      <c r="F143" s="751" t="s">
        <v>13769</v>
      </c>
      <c r="G143" s="292"/>
      <c r="I143" s="292"/>
    </row>
    <row r="144" spans="1:9">
      <c r="A144" s="751" t="s">
        <v>838</v>
      </c>
      <c r="B144" s="751" t="s">
        <v>13898</v>
      </c>
      <c r="C144" s="292" t="s">
        <v>13899</v>
      </c>
      <c r="D144" s="293">
        <v>3926</v>
      </c>
      <c r="F144" s="751" t="s">
        <v>13761</v>
      </c>
      <c r="G144" s="292"/>
      <c r="I144" s="292"/>
    </row>
    <row r="145" spans="1:9">
      <c r="A145" s="751" t="s">
        <v>840</v>
      </c>
      <c r="B145" s="751" t="s">
        <v>13900</v>
      </c>
      <c r="C145" s="292" t="s">
        <v>13901</v>
      </c>
      <c r="D145" s="295">
        <v>2249</v>
      </c>
      <c r="F145" s="751" t="s">
        <v>13765</v>
      </c>
      <c r="G145" s="292"/>
      <c r="I145" s="292"/>
    </row>
    <row r="146" spans="1:9">
      <c r="A146" s="751" t="s">
        <v>841</v>
      </c>
      <c r="B146" s="751" t="s">
        <v>13902</v>
      </c>
      <c r="C146" s="292" t="s">
        <v>13903</v>
      </c>
      <c r="D146" s="295">
        <v>5136</v>
      </c>
      <c r="F146" s="751" t="s">
        <v>13765</v>
      </c>
      <c r="G146" s="292"/>
      <c r="I146" s="292"/>
    </row>
    <row r="147" spans="1:9">
      <c r="A147" s="751" t="s">
        <v>878</v>
      </c>
      <c r="B147" s="751" t="s">
        <v>7913</v>
      </c>
      <c r="C147" s="292" t="s">
        <v>13904</v>
      </c>
      <c r="D147" s="295">
        <v>4416</v>
      </c>
      <c r="F147" s="751" t="s">
        <v>13761</v>
      </c>
      <c r="G147" s="292"/>
      <c r="I147" s="292"/>
    </row>
    <row r="148" spans="1:9">
      <c r="A148" s="751" t="s">
        <v>879</v>
      </c>
      <c r="B148" s="751" t="s">
        <v>13905</v>
      </c>
      <c r="C148" s="292" t="s">
        <v>13906</v>
      </c>
      <c r="D148" s="293">
        <v>4136</v>
      </c>
      <c r="F148" s="751" t="s">
        <v>13761</v>
      </c>
      <c r="G148" s="292"/>
      <c r="I148" s="292"/>
    </row>
    <row r="149" spans="1:9">
      <c r="A149" s="751" t="s">
        <v>880</v>
      </c>
      <c r="B149" s="751" t="s">
        <v>13907</v>
      </c>
      <c r="C149" s="292" t="s">
        <v>13908</v>
      </c>
      <c r="D149" s="295">
        <v>2215</v>
      </c>
      <c r="F149" s="751" t="s">
        <v>13769</v>
      </c>
      <c r="G149" s="292"/>
      <c r="I149" s="292"/>
    </row>
    <row r="150" spans="1:9">
      <c r="A150" s="751" t="s">
        <v>721</v>
      </c>
      <c r="B150" s="751" t="s">
        <v>13909</v>
      </c>
      <c r="C150" s="292" t="s">
        <v>13910</v>
      </c>
      <c r="D150" s="295">
        <v>4450</v>
      </c>
      <c r="F150" s="751" t="s">
        <v>13761</v>
      </c>
      <c r="G150" s="292"/>
      <c r="I150" s="292"/>
    </row>
    <row r="151" spans="1:9">
      <c r="A151" s="751" t="s">
        <v>722</v>
      </c>
      <c r="B151" s="751" t="s">
        <v>13911</v>
      </c>
      <c r="C151" s="292" t="s">
        <v>13912</v>
      </c>
      <c r="D151" s="295">
        <v>4139</v>
      </c>
      <c r="F151" s="751" t="s">
        <v>13761</v>
      </c>
      <c r="G151" s="292"/>
      <c r="I151" s="292"/>
    </row>
    <row r="152" spans="1:9">
      <c r="A152" s="751" t="s">
        <v>723</v>
      </c>
      <c r="B152" s="751" t="s">
        <v>13913</v>
      </c>
      <c r="C152" s="292" t="s">
        <v>13914</v>
      </c>
      <c r="D152" s="295">
        <v>5038</v>
      </c>
      <c r="F152" s="751" t="s">
        <v>13761</v>
      </c>
      <c r="G152" s="292"/>
      <c r="I152" s="292"/>
    </row>
    <row r="153" spans="1:9">
      <c r="A153" s="751" t="s">
        <v>733</v>
      </c>
      <c r="B153" s="751" t="s">
        <v>13915</v>
      </c>
      <c r="C153" s="292" t="s">
        <v>13916</v>
      </c>
      <c r="D153" s="295">
        <v>4827</v>
      </c>
      <c r="F153" s="751" t="s">
        <v>13761</v>
      </c>
      <c r="G153" s="292"/>
      <c r="I153" s="292"/>
    </row>
    <row r="154" spans="1:9">
      <c r="A154" s="751" t="s">
        <v>734</v>
      </c>
      <c r="B154" s="751" t="s">
        <v>13917</v>
      </c>
      <c r="C154" s="292" t="s">
        <v>13918</v>
      </c>
      <c r="D154" s="295">
        <v>2172</v>
      </c>
      <c r="F154" s="751" t="s">
        <v>13765</v>
      </c>
      <c r="G154" s="292"/>
      <c r="I154" s="292"/>
    </row>
    <row r="155" spans="1:9">
      <c r="A155" s="751" t="s">
        <v>735</v>
      </c>
      <c r="B155" s="751" t="s">
        <v>5586</v>
      </c>
      <c r="C155" s="292" t="s">
        <v>13919</v>
      </c>
      <c r="D155" s="295">
        <v>3497</v>
      </c>
      <c r="F155" s="751" t="s">
        <v>13761</v>
      </c>
      <c r="G155" s="292"/>
      <c r="I155" s="292"/>
    </row>
    <row r="156" spans="1:9">
      <c r="A156" s="751" t="s">
        <v>736</v>
      </c>
      <c r="B156" s="751" t="s">
        <v>3538</v>
      </c>
      <c r="C156" s="292" t="s">
        <v>13920</v>
      </c>
      <c r="D156" s="295">
        <v>2192</v>
      </c>
      <c r="F156" s="751" t="s">
        <v>13765</v>
      </c>
      <c r="G156" s="292"/>
      <c r="I156" s="292"/>
    </row>
    <row r="157" spans="1:9">
      <c r="D157" s="755"/>
    </row>
    <row r="158" spans="1:9">
      <c r="A158" s="751" t="s">
        <v>13761</v>
      </c>
      <c r="D158" s="753">
        <f>D128+D130+SUM(D133:D142)+D144+D147+D148+SUM(D150:D153)+D155</f>
        <v>76793</v>
      </c>
    </row>
    <row r="159" spans="1:9">
      <c r="A159" s="751" t="s">
        <v>13836</v>
      </c>
      <c r="D159" s="753">
        <f t="shared" ref="D159" si="35">D129+D132+D145+D146+D154+D156</f>
        <v>24430</v>
      </c>
    </row>
    <row r="160" spans="1:9">
      <c r="A160" s="751" t="s">
        <v>13921</v>
      </c>
      <c r="D160" s="753">
        <f>D127+D131+D143+D149</f>
        <v>13246</v>
      </c>
    </row>
    <row r="162" spans="1:9">
      <c r="A162" s="751" t="s">
        <v>13922</v>
      </c>
    </row>
    <row r="163" spans="1:9">
      <c r="A163" s="751"/>
    </row>
    <row r="164" spans="1:9">
      <c r="A164" s="751"/>
    </row>
    <row r="165" spans="1:9">
      <c r="D165" s="10" t="s">
        <v>285</v>
      </c>
      <c r="E165" s="11"/>
      <c r="F165" s="5" t="s">
        <v>4116</v>
      </c>
    </row>
    <row r="166" spans="1:9">
      <c r="D166" s="10">
        <v>2016</v>
      </c>
      <c r="F166" s="12" t="s">
        <v>286</v>
      </c>
    </row>
    <row r="167" spans="1:9">
      <c r="A167" s="751" t="s">
        <v>13754</v>
      </c>
      <c r="D167" s="753">
        <f t="shared" ref="D167" si="36">SUM(D168:D190)</f>
        <v>97048</v>
      </c>
    </row>
    <row r="168" spans="1:9">
      <c r="A168" s="751" t="s">
        <v>812</v>
      </c>
      <c r="B168" s="751" t="s">
        <v>13923</v>
      </c>
      <c r="C168" s="292" t="s">
        <v>13924</v>
      </c>
      <c r="D168" s="316">
        <v>3643</v>
      </c>
      <c r="F168" s="751" t="s">
        <v>13768</v>
      </c>
      <c r="G168" s="292"/>
      <c r="I168" s="292"/>
    </row>
    <row r="169" spans="1:9">
      <c r="A169" s="751" t="s">
        <v>813</v>
      </c>
      <c r="B169" s="751" t="s">
        <v>5184</v>
      </c>
      <c r="C169" s="292" t="s">
        <v>13925</v>
      </c>
      <c r="D169" s="316">
        <v>5233</v>
      </c>
      <c r="F169" s="751" t="s">
        <v>13759</v>
      </c>
      <c r="G169" s="292"/>
      <c r="I169" s="292"/>
    </row>
    <row r="170" spans="1:9">
      <c r="A170" s="751" t="s">
        <v>814</v>
      </c>
      <c r="B170" s="751" t="s">
        <v>13926</v>
      </c>
      <c r="C170" s="292" t="s">
        <v>13927</v>
      </c>
      <c r="D170" s="316">
        <v>4983</v>
      </c>
      <c r="F170" s="751" t="s">
        <v>13759</v>
      </c>
      <c r="G170" s="292"/>
      <c r="I170" s="292"/>
    </row>
    <row r="171" spans="1:9">
      <c r="A171" s="751" t="s">
        <v>815</v>
      </c>
      <c r="B171" s="751" t="s">
        <v>13928</v>
      </c>
      <c r="C171" s="292" t="s">
        <v>13929</v>
      </c>
      <c r="D171" s="316">
        <v>4962</v>
      </c>
      <c r="F171" s="751" t="s">
        <v>13759</v>
      </c>
      <c r="G171" s="292"/>
      <c r="I171" s="292"/>
    </row>
    <row r="172" spans="1:9">
      <c r="A172" s="751" t="s">
        <v>816</v>
      </c>
      <c r="B172" s="751" t="s">
        <v>13930</v>
      </c>
      <c r="C172" s="292" t="s">
        <v>13931</v>
      </c>
      <c r="D172" s="316">
        <v>5299</v>
      </c>
      <c r="F172" s="751" t="s">
        <v>13759</v>
      </c>
      <c r="G172" s="292"/>
      <c r="I172" s="292"/>
    </row>
    <row r="173" spans="1:9">
      <c r="A173" s="751" t="s">
        <v>826</v>
      </c>
      <c r="B173" s="751" t="s">
        <v>13932</v>
      </c>
      <c r="C173" s="292" t="s">
        <v>13933</v>
      </c>
      <c r="D173" s="316">
        <v>4418</v>
      </c>
      <c r="F173" s="751" t="s">
        <v>13768</v>
      </c>
      <c r="G173" s="292"/>
      <c r="I173" s="292"/>
    </row>
    <row r="174" spans="1:9">
      <c r="A174" s="751" t="s">
        <v>827</v>
      </c>
      <c r="B174" s="751" t="s">
        <v>13934</v>
      </c>
      <c r="C174" s="292" t="s">
        <v>13935</v>
      </c>
      <c r="D174" s="316">
        <v>3465</v>
      </c>
      <c r="F174" s="751" t="s">
        <v>13768</v>
      </c>
      <c r="G174" s="292"/>
      <c r="I174" s="292"/>
    </row>
    <row r="175" spans="1:9">
      <c r="A175" s="751" t="s">
        <v>828</v>
      </c>
      <c r="B175" s="751" t="s">
        <v>13936</v>
      </c>
      <c r="C175" s="292" t="s">
        <v>13937</v>
      </c>
      <c r="D175" s="316">
        <v>5341</v>
      </c>
      <c r="F175" s="751" t="s">
        <v>13768</v>
      </c>
      <c r="G175" s="292"/>
      <c r="I175" s="292"/>
    </row>
    <row r="176" spans="1:9">
      <c r="A176" s="751" t="s">
        <v>829</v>
      </c>
      <c r="B176" s="751" t="s">
        <v>13938</v>
      </c>
      <c r="C176" s="292" t="s">
        <v>13939</v>
      </c>
      <c r="D176" s="316">
        <v>3406</v>
      </c>
      <c r="F176" s="751" t="s">
        <v>13768</v>
      </c>
      <c r="G176" s="292"/>
      <c r="I176" s="292"/>
    </row>
    <row r="177" spans="1:9">
      <c r="A177" s="751" t="s">
        <v>830</v>
      </c>
      <c r="B177" s="751" t="s">
        <v>13940</v>
      </c>
      <c r="C177" s="292" t="s">
        <v>13941</v>
      </c>
      <c r="D177" s="316">
        <v>5313</v>
      </c>
      <c r="F177" s="751" t="s">
        <v>13759</v>
      </c>
      <c r="G177" s="292"/>
      <c r="I177" s="292"/>
    </row>
    <row r="178" spans="1:9">
      <c r="A178" s="751" t="s">
        <v>831</v>
      </c>
      <c r="B178" s="751" t="s">
        <v>13942</v>
      </c>
      <c r="C178" s="292" t="s">
        <v>13943</v>
      </c>
      <c r="D178" s="316">
        <v>3368</v>
      </c>
      <c r="F178" s="751" t="s">
        <v>13768</v>
      </c>
      <c r="G178" s="292"/>
      <c r="I178" s="292"/>
    </row>
    <row r="179" spans="1:9">
      <c r="A179" s="751" t="s">
        <v>832</v>
      </c>
      <c r="B179" s="751" t="s">
        <v>13944</v>
      </c>
      <c r="C179" s="292" t="s">
        <v>13945</v>
      </c>
      <c r="D179" s="316">
        <v>1227</v>
      </c>
      <c r="F179" s="751" t="s">
        <v>13768</v>
      </c>
      <c r="G179" s="292"/>
      <c r="I179" s="292"/>
    </row>
    <row r="180" spans="1:9">
      <c r="A180" s="751" t="s">
        <v>833</v>
      </c>
      <c r="B180" s="751" t="s">
        <v>13946</v>
      </c>
      <c r="C180" s="292" t="s">
        <v>13947</v>
      </c>
      <c r="D180" s="316">
        <v>1711</v>
      </c>
      <c r="F180" s="751" t="s">
        <v>13768</v>
      </c>
      <c r="G180" s="292"/>
      <c r="I180" s="292"/>
    </row>
    <row r="181" spans="1:9">
      <c r="A181" s="751" t="s">
        <v>834</v>
      </c>
      <c r="B181" s="751" t="s">
        <v>13948</v>
      </c>
      <c r="C181" s="292" t="s">
        <v>13949</v>
      </c>
      <c r="D181" s="316">
        <v>5144</v>
      </c>
      <c r="F181" s="751" t="s">
        <v>13759</v>
      </c>
      <c r="G181" s="292"/>
      <c r="I181" s="292"/>
    </row>
    <row r="182" spans="1:9">
      <c r="A182" s="751" t="s">
        <v>835</v>
      </c>
      <c r="B182" s="751" t="s">
        <v>13950</v>
      </c>
      <c r="C182" s="292" t="s">
        <v>13951</v>
      </c>
      <c r="D182" s="316">
        <v>3723</v>
      </c>
      <c r="F182" s="751" t="s">
        <v>13768</v>
      </c>
      <c r="G182" s="292"/>
      <c r="I182" s="292"/>
    </row>
    <row r="183" spans="1:9">
      <c r="A183" s="751" t="s">
        <v>836</v>
      </c>
      <c r="B183" s="751" t="s">
        <v>13952</v>
      </c>
      <c r="C183" s="292" t="s">
        <v>13953</v>
      </c>
      <c r="D183" s="316">
        <v>4387</v>
      </c>
      <c r="F183" s="751" t="s">
        <v>13759</v>
      </c>
      <c r="G183" s="292"/>
      <c r="I183" s="292"/>
    </row>
    <row r="184" spans="1:9">
      <c r="A184" s="751" t="s">
        <v>837</v>
      </c>
      <c r="B184" s="751" t="s">
        <v>13954</v>
      </c>
      <c r="C184" s="292" t="s">
        <v>13955</v>
      </c>
      <c r="D184" s="316">
        <v>5295</v>
      </c>
      <c r="F184" s="751" t="s">
        <v>13759</v>
      </c>
      <c r="G184" s="292"/>
      <c r="I184" s="292"/>
    </row>
    <row r="185" spans="1:9">
      <c r="A185" s="751" t="s">
        <v>838</v>
      </c>
      <c r="B185" s="751" t="s">
        <v>13956</v>
      </c>
      <c r="C185" s="292" t="s">
        <v>13957</v>
      </c>
      <c r="D185" s="316">
        <v>3573</v>
      </c>
      <c r="F185" s="751" t="s">
        <v>13768</v>
      </c>
      <c r="G185" s="292"/>
      <c r="I185" s="292"/>
    </row>
    <row r="186" spans="1:9">
      <c r="A186" s="751" t="s">
        <v>840</v>
      </c>
      <c r="B186" s="751" t="s">
        <v>157</v>
      </c>
      <c r="C186" s="292" t="s">
        <v>13958</v>
      </c>
      <c r="D186" s="316">
        <v>5946</v>
      </c>
      <c r="F186" s="751" t="s">
        <v>13759</v>
      </c>
      <c r="G186" s="292"/>
      <c r="I186" s="292"/>
    </row>
    <row r="187" spans="1:9">
      <c r="A187" s="751" t="s">
        <v>841</v>
      </c>
      <c r="B187" s="751" t="s">
        <v>303</v>
      </c>
      <c r="C187" s="292" t="s">
        <v>13959</v>
      </c>
      <c r="D187" s="316">
        <v>3536</v>
      </c>
      <c r="F187" s="751" t="s">
        <v>13768</v>
      </c>
      <c r="G187" s="292"/>
      <c r="I187" s="292"/>
    </row>
    <row r="188" spans="1:9">
      <c r="A188" s="751" t="s">
        <v>878</v>
      </c>
      <c r="B188" s="751" t="s">
        <v>13960</v>
      </c>
      <c r="C188" s="292" t="s">
        <v>13961</v>
      </c>
      <c r="D188" s="316">
        <v>5105</v>
      </c>
      <c r="F188" s="751" t="s">
        <v>13759</v>
      </c>
      <c r="G188" s="292"/>
      <c r="I188" s="292"/>
    </row>
    <row r="189" spans="1:9">
      <c r="A189" s="762">
        <v>22</v>
      </c>
      <c r="B189" s="751" t="s">
        <v>13962</v>
      </c>
      <c r="C189" s="292" t="s">
        <v>13963</v>
      </c>
      <c r="D189" s="316">
        <v>3489</v>
      </c>
      <c r="F189" s="751" t="s">
        <v>13768</v>
      </c>
      <c r="G189" s="292"/>
      <c r="I189" s="292"/>
    </row>
    <row r="190" spans="1:9">
      <c r="A190" s="762">
        <v>23</v>
      </c>
      <c r="B190" s="751" t="s">
        <v>13964</v>
      </c>
      <c r="C190" s="292" t="s">
        <v>13965</v>
      </c>
      <c r="D190" s="316">
        <v>4481</v>
      </c>
      <c r="F190" s="751" t="s">
        <v>13768</v>
      </c>
      <c r="G190" s="292"/>
      <c r="I190" s="292"/>
    </row>
    <row r="191" spans="1:9">
      <c r="D191" s="755"/>
    </row>
    <row r="192" spans="1:9">
      <c r="A192" s="751" t="s">
        <v>13966</v>
      </c>
      <c r="D192" s="753">
        <f t="shared" ref="D192" si="37">SUM(D169:D172)+D177+D181+D183+D184+D186+D188</f>
        <v>51667</v>
      </c>
    </row>
    <row r="193" spans="1:9">
      <c r="A193" s="751" t="s">
        <v>13807</v>
      </c>
      <c r="D193" s="753">
        <f t="shared" ref="D193" si="38">D168+SUM(D173:D176)+SUM(D178:D180)+D182+D185+D187+D189+D190</f>
        <v>45381</v>
      </c>
    </row>
    <row r="194" spans="1:9">
      <c r="A194" s="751"/>
      <c r="B194" s="751"/>
      <c r="D194" s="761"/>
    </row>
    <row r="195" spans="1:9">
      <c r="A195" s="751" t="s">
        <v>13967</v>
      </c>
      <c r="B195" s="751"/>
      <c r="D195" s="761"/>
    </row>
    <row r="196" spans="1:9">
      <c r="A196" s="751"/>
      <c r="B196" s="751"/>
      <c r="D196" s="761"/>
    </row>
    <row r="197" spans="1:9">
      <c r="A197" s="751"/>
      <c r="B197" s="751"/>
      <c r="D197" s="761"/>
    </row>
    <row r="198" spans="1:9">
      <c r="D198" s="10" t="s">
        <v>285</v>
      </c>
      <c r="E198" s="11"/>
      <c r="F198" s="5" t="s">
        <v>4116</v>
      </c>
    </row>
    <row r="199" spans="1:9">
      <c r="D199" s="10">
        <v>2016</v>
      </c>
      <c r="F199" s="12" t="s">
        <v>286</v>
      </c>
    </row>
    <row r="200" spans="1:9">
      <c r="A200" s="751" t="s">
        <v>13755</v>
      </c>
      <c r="D200" s="753">
        <f t="shared" ref="D200" si="39">SUM(D201:D225)</f>
        <v>118059</v>
      </c>
    </row>
    <row r="201" spans="1:9">
      <c r="A201" s="762">
        <v>1</v>
      </c>
      <c r="B201" s="751" t="s">
        <v>13968</v>
      </c>
      <c r="C201" s="292" t="s">
        <v>13969</v>
      </c>
      <c r="D201" s="293">
        <v>1927</v>
      </c>
      <c r="F201" s="751" t="s">
        <v>13769</v>
      </c>
      <c r="G201" s="292"/>
      <c r="I201" s="292"/>
    </row>
    <row r="202" spans="1:9">
      <c r="A202" s="762">
        <v>2</v>
      </c>
      <c r="B202" s="751" t="s">
        <v>13970</v>
      </c>
      <c r="C202" s="292" t="s">
        <v>13971</v>
      </c>
      <c r="D202" s="293">
        <v>2544</v>
      </c>
      <c r="F202" s="751" t="s">
        <v>13769</v>
      </c>
      <c r="G202" s="292"/>
      <c r="I202" s="292"/>
    </row>
    <row r="203" spans="1:9">
      <c r="A203" s="762">
        <v>3</v>
      </c>
      <c r="B203" s="751" t="s">
        <v>13972</v>
      </c>
      <c r="C203" s="292" t="s">
        <v>13973</v>
      </c>
      <c r="D203" s="293">
        <v>6491</v>
      </c>
      <c r="F203" s="751" t="s">
        <v>13763</v>
      </c>
      <c r="G203" s="292"/>
      <c r="I203" s="292"/>
    </row>
    <row r="204" spans="1:9">
      <c r="A204" s="762">
        <v>4</v>
      </c>
      <c r="B204" s="751" t="s">
        <v>13974</v>
      </c>
      <c r="C204" s="292" t="s">
        <v>13975</v>
      </c>
      <c r="D204" s="293">
        <v>2334</v>
      </c>
      <c r="F204" s="751" t="s">
        <v>13759</v>
      </c>
      <c r="G204" s="292"/>
      <c r="I204" s="292"/>
    </row>
    <row r="205" spans="1:9">
      <c r="A205" s="762">
        <v>5</v>
      </c>
      <c r="B205" s="751" t="s">
        <v>13976</v>
      </c>
      <c r="C205" s="292" t="s">
        <v>13977</v>
      </c>
      <c r="D205" s="293">
        <v>4381</v>
      </c>
      <c r="F205" s="751" t="s">
        <v>13759</v>
      </c>
      <c r="G205" s="292"/>
      <c r="I205" s="292"/>
    </row>
    <row r="206" spans="1:9">
      <c r="A206" s="762">
        <v>6</v>
      </c>
      <c r="B206" s="751" t="s">
        <v>13978</v>
      </c>
      <c r="C206" s="292" t="s">
        <v>13979</v>
      </c>
      <c r="D206" s="293">
        <v>6466</v>
      </c>
      <c r="F206" s="751" t="s">
        <v>13769</v>
      </c>
      <c r="G206" s="292"/>
      <c r="I206" s="292"/>
    </row>
    <row r="207" spans="1:9">
      <c r="A207" s="762">
        <v>7</v>
      </c>
      <c r="B207" s="751" t="s">
        <v>13980</v>
      </c>
      <c r="C207" s="292" t="s">
        <v>13981</v>
      </c>
      <c r="D207" s="295">
        <v>6819</v>
      </c>
      <c r="F207" s="751" t="s">
        <v>13769</v>
      </c>
      <c r="G207" s="292"/>
      <c r="I207" s="292"/>
    </row>
    <row r="208" spans="1:9">
      <c r="A208" s="762">
        <v>8</v>
      </c>
      <c r="B208" s="751" t="s">
        <v>13982</v>
      </c>
      <c r="C208" s="292" t="s">
        <v>13983</v>
      </c>
      <c r="D208" s="293">
        <v>4302</v>
      </c>
      <c r="F208" s="751" t="s">
        <v>13756</v>
      </c>
      <c r="G208" s="292"/>
      <c r="I208" s="292"/>
    </row>
    <row r="209" spans="1:9">
      <c r="A209" s="762">
        <v>9</v>
      </c>
      <c r="B209" s="751" t="s">
        <v>13984</v>
      </c>
      <c r="C209" s="292" t="s">
        <v>13985</v>
      </c>
      <c r="D209" s="293">
        <v>4341</v>
      </c>
      <c r="F209" s="751" t="s">
        <v>13756</v>
      </c>
      <c r="G209" s="292"/>
      <c r="I209" s="292"/>
    </row>
    <row r="210" spans="1:9">
      <c r="A210" s="762">
        <v>10</v>
      </c>
      <c r="B210" s="751" t="s">
        <v>13986</v>
      </c>
      <c r="C210" s="292" t="s">
        <v>13987</v>
      </c>
      <c r="D210" s="295">
        <v>6678</v>
      </c>
      <c r="F210" s="751" t="s">
        <v>13769</v>
      </c>
      <c r="G210" s="292"/>
      <c r="I210" s="292"/>
    </row>
    <row r="211" spans="1:9">
      <c r="A211" s="762">
        <v>11</v>
      </c>
      <c r="B211" s="751" t="s">
        <v>10182</v>
      </c>
      <c r="C211" s="292" t="s">
        <v>13988</v>
      </c>
      <c r="D211" s="295">
        <v>6267</v>
      </c>
      <c r="F211" s="751" t="s">
        <v>13769</v>
      </c>
      <c r="G211" s="292"/>
      <c r="I211" s="292"/>
    </row>
    <row r="212" spans="1:9">
      <c r="A212" s="762">
        <v>12</v>
      </c>
      <c r="B212" s="751" t="s">
        <v>13989</v>
      </c>
      <c r="C212" s="292" t="s">
        <v>13990</v>
      </c>
      <c r="D212" s="293">
        <v>2185</v>
      </c>
      <c r="F212" s="751" t="s">
        <v>13759</v>
      </c>
      <c r="G212" s="292"/>
      <c r="I212" s="292"/>
    </row>
    <row r="213" spans="1:9">
      <c r="A213" s="762">
        <v>13</v>
      </c>
      <c r="B213" s="751" t="s">
        <v>8758</v>
      </c>
      <c r="C213" s="292" t="s">
        <v>13991</v>
      </c>
      <c r="D213" s="293">
        <v>6784</v>
      </c>
      <c r="F213" s="751" t="s">
        <v>13763</v>
      </c>
      <c r="G213" s="292"/>
      <c r="I213" s="292"/>
    </row>
    <row r="214" spans="1:9">
      <c r="A214" s="762">
        <v>14</v>
      </c>
      <c r="B214" s="751" t="s">
        <v>13992</v>
      </c>
      <c r="C214" s="292" t="s">
        <v>13993</v>
      </c>
      <c r="D214" s="295">
        <v>6570</v>
      </c>
      <c r="F214" s="751" t="s">
        <v>13763</v>
      </c>
      <c r="G214" s="292"/>
      <c r="I214" s="292"/>
    </row>
    <row r="215" spans="1:9">
      <c r="A215" s="762">
        <v>15</v>
      </c>
      <c r="B215" s="751" t="s">
        <v>13994</v>
      </c>
      <c r="C215" s="292" t="s">
        <v>13995</v>
      </c>
      <c r="D215" s="295">
        <v>6915</v>
      </c>
      <c r="F215" s="751" t="s">
        <v>13769</v>
      </c>
      <c r="G215" s="292"/>
      <c r="I215" s="292"/>
    </row>
    <row r="216" spans="1:9">
      <c r="A216" s="762">
        <v>16</v>
      </c>
      <c r="B216" s="751" t="s">
        <v>13996</v>
      </c>
      <c r="C216" s="292" t="s">
        <v>13997</v>
      </c>
      <c r="D216" s="293">
        <v>4275</v>
      </c>
      <c r="F216" s="751" t="s">
        <v>13759</v>
      </c>
      <c r="G216" s="292"/>
      <c r="I216" s="292"/>
    </row>
    <row r="217" spans="1:9">
      <c r="A217" s="762">
        <v>17</v>
      </c>
      <c r="B217" s="751" t="s">
        <v>13998</v>
      </c>
      <c r="C217" s="292" t="s">
        <v>13999</v>
      </c>
      <c r="D217" s="295">
        <v>2371</v>
      </c>
      <c r="F217" s="751" t="s">
        <v>13769</v>
      </c>
      <c r="G217" s="292"/>
      <c r="I217" s="292"/>
    </row>
    <row r="218" spans="1:9">
      <c r="A218" s="762">
        <v>18</v>
      </c>
      <c r="B218" s="751" t="s">
        <v>14000</v>
      </c>
      <c r="C218" s="292" t="s">
        <v>14001</v>
      </c>
      <c r="D218" s="295">
        <v>5515</v>
      </c>
      <c r="F218" s="751" t="s">
        <v>13769</v>
      </c>
      <c r="G218" s="292"/>
      <c r="I218" s="292"/>
    </row>
    <row r="219" spans="1:9">
      <c r="A219" s="762">
        <v>19</v>
      </c>
      <c r="B219" s="751" t="s">
        <v>14002</v>
      </c>
      <c r="C219" s="292" t="s">
        <v>14003</v>
      </c>
      <c r="D219" s="293">
        <v>2541</v>
      </c>
      <c r="F219" s="751" t="s">
        <v>13759</v>
      </c>
      <c r="G219" s="292"/>
      <c r="I219" s="292"/>
    </row>
    <row r="220" spans="1:9">
      <c r="A220" s="762">
        <v>20</v>
      </c>
      <c r="B220" s="751" t="s">
        <v>14004</v>
      </c>
      <c r="C220" s="292" t="s">
        <v>14005</v>
      </c>
      <c r="D220" s="293">
        <v>3972</v>
      </c>
      <c r="F220" s="751" t="s">
        <v>13763</v>
      </c>
      <c r="G220" s="292"/>
      <c r="I220" s="292"/>
    </row>
    <row r="221" spans="1:9">
      <c r="A221" s="762">
        <v>21</v>
      </c>
      <c r="B221" s="751" t="s">
        <v>14006</v>
      </c>
      <c r="C221" s="292" t="s">
        <v>14007</v>
      </c>
      <c r="D221" s="295">
        <v>2270</v>
      </c>
      <c r="F221" s="751" t="s">
        <v>13769</v>
      </c>
      <c r="G221" s="292"/>
      <c r="I221" s="292"/>
    </row>
    <row r="222" spans="1:9">
      <c r="A222" s="762">
        <v>22</v>
      </c>
      <c r="B222" s="751" t="s">
        <v>14008</v>
      </c>
      <c r="C222" s="292" t="s">
        <v>14009</v>
      </c>
      <c r="D222" s="293">
        <v>4451</v>
      </c>
      <c r="F222" s="751" t="s">
        <v>13759</v>
      </c>
      <c r="G222" s="292"/>
      <c r="I222" s="292"/>
    </row>
    <row r="223" spans="1:9">
      <c r="A223" s="762">
        <v>23</v>
      </c>
      <c r="B223" s="751" t="s">
        <v>14010</v>
      </c>
      <c r="C223" s="292" t="s">
        <v>14011</v>
      </c>
      <c r="D223" s="295">
        <v>4290</v>
      </c>
      <c r="F223" s="751" t="s">
        <v>13769</v>
      </c>
      <c r="G223" s="292"/>
      <c r="I223" s="292"/>
    </row>
    <row r="224" spans="1:9">
      <c r="A224" s="762">
        <v>24</v>
      </c>
      <c r="B224" s="751" t="s">
        <v>14012</v>
      </c>
      <c r="C224" s="292" t="s">
        <v>14013</v>
      </c>
      <c r="D224" s="295">
        <v>7197</v>
      </c>
      <c r="F224" s="751" t="s">
        <v>13769</v>
      </c>
      <c r="G224" s="292"/>
      <c r="I224" s="292"/>
    </row>
    <row r="225" spans="1:9">
      <c r="A225" s="760">
        <v>25</v>
      </c>
      <c r="B225" s="751" t="s">
        <v>14014</v>
      </c>
      <c r="C225" s="292" t="s">
        <v>14015</v>
      </c>
      <c r="D225" s="293">
        <v>6173</v>
      </c>
      <c r="F225" s="751" t="s">
        <v>13756</v>
      </c>
      <c r="G225" s="292"/>
      <c r="I225" s="292"/>
    </row>
    <row r="226" spans="1:9">
      <c r="D226" s="755"/>
    </row>
    <row r="227" spans="1:9">
      <c r="A227" s="751" t="s">
        <v>13806</v>
      </c>
      <c r="D227" s="753">
        <f t="shared" ref="D227" si="40">D208+D209+D225</f>
        <v>14816</v>
      </c>
    </row>
    <row r="228" spans="1:9">
      <c r="A228" s="751" t="s">
        <v>13966</v>
      </c>
      <c r="D228" s="753">
        <f t="shared" ref="D228" si="41">D204+D205+D212+D216+D219+D222</f>
        <v>20167</v>
      </c>
    </row>
    <row r="229" spans="1:9">
      <c r="A229" s="751" t="s">
        <v>13835</v>
      </c>
      <c r="D229" s="753">
        <f>D203+D213+D214+D220</f>
        <v>23817</v>
      </c>
    </row>
    <row r="230" spans="1:9">
      <c r="A230" s="751" t="s">
        <v>13921</v>
      </c>
      <c r="D230" s="753">
        <f>D201+D202+D206+D207+D210+D211+D215+D217+D218+D221+D223+D224</f>
        <v>59259</v>
      </c>
    </row>
    <row r="232" spans="1:9">
      <c r="A232" s="751" t="s">
        <v>14016</v>
      </c>
    </row>
  </sheetData>
  <printOptions gridLinesSet="0"/>
  <pageMargins left="0.78740157480314965" right="0" top="0.51181102362204722" bottom="0.51181102362204722" header="0.51181102362204722" footer="0.51181102362204722"/>
  <pageSetup paperSize="9" scale="72" orientation="portrait" horizontalDpi="300" verticalDpi="300" r:id="rId1"/>
  <headerFooter alignWithMargins="0">
    <oddFooter>&amp;C&amp;8&amp;P of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3"/>
  <sheetViews>
    <sheetView showGridLines="0" zoomScaleNormal="100" workbookViewId="0"/>
  </sheetViews>
  <sheetFormatPr defaultColWidth="12.59765625" defaultRowHeight="14.5"/>
  <cols>
    <col min="1" max="1" width="4.8984375" style="619" customWidth="1"/>
    <col min="2" max="2" width="40.69921875" style="619" customWidth="1"/>
    <col min="3" max="3" width="11.59765625" style="619" customWidth="1"/>
    <col min="4" max="4" width="10" style="619" customWidth="1"/>
    <col min="5" max="5" width="2.296875" style="619" customWidth="1"/>
    <col min="6" max="6" width="33.09765625" style="619" customWidth="1"/>
    <col min="7" max="16384" width="12.59765625" style="619"/>
  </cols>
  <sheetData>
    <row r="1" spans="1:10">
      <c r="A1" s="591" t="s">
        <v>9176</v>
      </c>
      <c r="D1" s="620">
        <v>2016</v>
      </c>
    </row>
    <row r="3" spans="1:10">
      <c r="A3" s="591" t="s">
        <v>10374</v>
      </c>
      <c r="D3" s="621">
        <f t="shared" ref="D3" si="0">SUM(D13:D30)</f>
        <v>136004</v>
      </c>
    </row>
    <row r="5" spans="1:10">
      <c r="A5" s="591" t="s">
        <v>10375</v>
      </c>
      <c r="D5" s="621">
        <f>SUM(D13:D17)+D20+SUM(D26:D29)</f>
        <v>75579</v>
      </c>
      <c r="F5" s="591" t="s">
        <v>10166</v>
      </c>
    </row>
    <row r="6" spans="1:10">
      <c r="D6" s="622"/>
    </row>
    <row r="7" spans="1:10">
      <c r="A7" s="591" t="s">
        <v>10165</v>
      </c>
      <c r="D7" s="622">
        <f>MERTON!D12</f>
        <v>13433</v>
      </c>
      <c r="F7" s="619" t="s">
        <v>9503</v>
      </c>
    </row>
    <row r="8" spans="1:10" ht="15" thickBot="1">
      <c r="D8" s="623">
        <f>D18+D19+SUM(D21:D25)+D30</f>
        <v>60425</v>
      </c>
      <c r="F8" s="591" t="s">
        <v>10166</v>
      </c>
    </row>
    <row r="9" spans="1:10" ht="15" thickBot="1">
      <c r="A9" s="591"/>
      <c r="D9" s="624">
        <f>D7+D8</f>
        <v>73858</v>
      </c>
      <c r="F9" s="591"/>
    </row>
    <row r="10" spans="1:10">
      <c r="D10" s="622"/>
    </row>
    <row r="11" spans="1:10">
      <c r="A11" s="591" t="s">
        <v>1041</v>
      </c>
      <c r="D11" s="621">
        <f t="shared" ref="D11" si="1">D5+D8</f>
        <v>136004</v>
      </c>
    </row>
    <row r="12" spans="1:10">
      <c r="D12" s="622"/>
    </row>
    <row r="13" spans="1:10">
      <c r="A13" s="591" t="s">
        <v>812</v>
      </c>
      <c r="B13" s="591" t="s">
        <v>10376</v>
      </c>
      <c r="C13" s="292" t="s">
        <v>10377</v>
      </c>
      <c r="D13" s="316">
        <v>7636</v>
      </c>
      <c r="F13" s="591" t="s">
        <v>10375</v>
      </c>
      <c r="H13" s="292"/>
      <c r="J13" s="292"/>
    </row>
    <row r="14" spans="1:10">
      <c r="A14" s="591" t="s">
        <v>813</v>
      </c>
      <c r="B14" s="591" t="s">
        <v>10378</v>
      </c>
      <c r="C14" s="292" t="s">
        <v>10379</v>
      </c>
      <c r="D14" s="316">
        <v>7734</v>
      </c>
      <c r="F14" s="591" t="s">
        <v>10375</v>
      </c>
      <c r="H14" s="292"/>
      <c r="J14" s="292"/>
    </row>
    <row r="15" spans="1:10">
      <c r="A15" s="591" t="s">
        <v>814</v>
      </c>
      <c r="B15" s="591" t="s">
        <v>5184</v>
      </c>
      <c r="C15" s="292" t="s">
        <v>10380</v>
      </c>
      <c r="D15" s="316">
        <v>7275</v>
      </c>
      <c r="F15" s="591" t="s">
        <v>10375</v>
      </c>
      <c r="H15" s="292"/>
      <c r="J15" s="292"/>
    </row>
    <row r="16" spans="1:10">
      <c r="A16" s="591" t="s">
        <v>815</v>
      </c>
      <c r="B16" s="591" t="s">
        <v>10381</v>
      </c>
      <c r="C16" s="292" t="s">
        <v>10382</v>
      </c>
      <c r="D16" s="316">
        <v>7529</v>
      </c>
      <c r="F16" s="591" t="s">
        <v>10375</v>
      </c>
      <c r="H16" s="292"/>
      <c r="J16" s="292"/>
    </row>
    <row r="17" spans="1:10">
      <c r="A17" s="591" t="s">
        <v>816</v>
      </c>
      <c r="B17" s="591" t="s">
        <v>10383</v>
      </c>
      <c r="C17" s="292" t="s">
        <v>10384</v>
      </c>
      <c r="D17" s="316">
        <v>7523</v>
      </c>
      <c r="F17" s="591" t="s">
        <v>10375</v>
      </c>
      <c r="H17" s="292"/>
      <c r="J17" s="292"/>
    </row>
    <row r="18" spans="1:10">
      <c r="A18" s="591" t="s">
        <v>826</v>
      </c>
      <c r="B18" s="591" t="s">
        <v>10385</v>
      </c>
      <c r="C18" s="292" t="s">
        <v>10386</v>
      </c>
      <c r="D18" s="316">
        <v>7852</v>
      </c>
      <c r="F18" s="591" t="s">
        <v>10165</v>
      </c>
      <c r="H18" s="292"/>
      <c r="J18" s="292"/>
    </row>
    <row r="19" spans="1:10">
      <c r="A19" s="591" t="s">
        <v>827</v>
      </c>
      <c r="B19" s="591" t="s">
        <v>10387</v>
      </c>
      <c r="C19" s="292" t="s">
        <v>10388</v>
      </c>
      <c r="D19" s="316">
        <v>7922</v>
      </c>
      <c r="F19" s="591" t="s">
        <v>10165</v>
      </c>
      <c r="H19" s="292"/>
      <c r="J19" s="292"/>
    </row>
    <row r="20" spans="1:10">
      <c r="A20" s="591" t="s">
        <v>828</v>
      </c>
      <c r="B20" s="591" t="s">
        <v>10198</v>
      </c>
      <c r="C20" s="292" t="s">
        <v>10389</v>
      </c>
      <c r="D20" s="316">
        <v>7544</v>
      </c>
      <c r="F20" s="591" t="s">
        <v>10375</v>
      </c>
      <c r="H20" s="292"/>
      <c r="J20" s="292"/>
    </row>
    <row r="21" spans="1:10">
      <c r="A21" s="591" t="s">
        <v>829</v>
      </c>
      <c r="B21" s="591" t="s">
        <v>10390</v>
      </c>
      <c r="C21" s="292" t="s">
        <v>10391</v>
      </c>
      <c r="D21" s="316">
        <v>8007</v>
      </c>
      <c r="F21" s="591" t="s">
        <v>10165</v>
      </c>
      <c r="H21" s="292"/>
      <c r="J21" s="292"/>
    </row>
    <row r="22" spans="1:10">
      <c r="A22" s="591" t="s">
        <v>830</v>
      </c>
      <c r="B22" s="591" t="s">
        <v>10392</v>
      </c>
      <c r="C22" s="292" t="s">
        <v>10393</v>
      </c>
      <c r="D22" s="316">
        <v>7145</v>
      </c>
      <c r="F22" s="591" t="s">
        <v>10165</v>
      </c>
      <c r="H22" s="292"/>
      <c r="J22" s="292"/>
    </row>
    <row r="23" spans="1:10">
      <c r="A23" s="591" t="s">
        <v>831</v>
      </c>
      <c r="B23" s="591" t="s">
        <v>10394</v>
      </c>
      <c r="C23" s="292" t="s">
        <v>10395</v>
      </c>
      <c r="D23" s="316">
        <v>7189</v>
      </c>
      <c r="F23" s="591" t="s">
        <v>10165</v>
      </c>
      <c r="H23" s="292"/>
      <c r="J23" s="292"/>
    </row>
    <row r="24" spans="1:10">
      <c r="A24" s="591" t="s">
        <v>832</v>
      </c>
      <c r="B24" s="591" t="s">
        <v>10396</v>
      </c>
      <c r="C24" s="292" t="s">
        <v>10397</v>
      </c>
      <c r="D24" s="316">
        <v>6664</v>
      </c>
      <c r="F24" s="591" t="s">
        <v>10165</v>
      </c>
      <c r="H24" s="292"/>
      <c r="J24" s="292"/>
    </row>
    <row r="25" spans="1:10">
      <c r="A25" s="591" t="s">
        <v>833</v>
      </c>
      <c r="B25" s="591" t="s">
        <v>10398</v>
      </c>
      <c r="C25" s="292" t="s">
        <v>10399</v>
      </c>
      <c r="D25" s="316">
        <v>7322</v>
      </c>
      <c r="F25" s="591" t="s">
        <v>10165</v>
      </c>
      <c r="H25" s="292"/>
      <c r="J25" s="292"/>
    </row>
    <row r="26" spans="1:10">
      <c r="A26" s="591" t="s">
        <v>834</v>
      </c>
      <c r="B26" s="591" t="s">
        <v>10400</v>
      </c>
      <c r="C26" s="292" t="s">
        <v>10401</v>
      </c>
      <c r="D26" s="316">
        <v>7439</v>
      </c>
      <c r="F26" s="591" t="s">
        <v>10375</v>
      </c>
      <c r="H26" s="292"/>
      <c r="J26" s="292"/>
    </row>
    <row r="27" spans="1:10">
      <c r="A27" s="591" t="s">
        <v>835</v>
      </c>
      <c r="B27" s="591" t="s">
        <v>10402</v>
      </c>
      <c r="C27" s="292" t="s">
        <v>10403</v>
      </c>
      <c r="D27" s="316">
        <v>7749</v>
      </c>
      <c r="F27" s="591" t="s">
        <v>10375</v>
      </c>
      <c r="H27" s="292"/>
      <c r="J27" s="292"/>
    </row>
    <row r="28" spans="1:10">
      <c r="A28" s="591" t="s">
        <v>836</v>
      </c>
      <c r="B28" s="591" t="s">
        <v>10404</v>
      </c>
      <c r="C28" s="292" t="s">
        <v>10405</v>
      </c>
      <c r="D28" s="316">
        <v>7496</v>
      </c>
      <c r="F28" s="591" t="s">
        <v>10375</v>
      </c>
      <c r="H28" s="292"/>
      <c r="J28" s="292"/>
    </row>
    <row r="29" spans="1:10">
      <c r="A29" s="591" t="s">
        <v>837</v>
      </c>
      <c r="B29" s="591" t="s">
        <v>10406</v>
      </c>
      <c r="C29" s="292" t="s">
        <v>10407</v>
      </c>
      <c r="D29" s="316">
        <v>7654</v>
      </c>
      <c r="F29" s="591" t="s">
        <v>10375</v>
      </c>
      <c r="H29" s="292"/>
      <c r="J29" s="292"/>
    </row>
    <row r="30" spans="1:10">
      <c r="A30" s="591" t="s">
        <v>838</v>
      </c>
      <c r="B30" s="591" t="s">
        <v>10408</v>
      </c>
      <c r="C30" s="292" t="s">
        <v>10409</v>
      </c>
      <c r="D30" s="316">
        <v>8324</v>
      </c>
      <c r="F30" s="591" t="s">
        <v>10165</v>
      </c>
      <c r="H30" s="292"/>
      <c r="J30" s="292"/>
    </row>
    <row r="31" spans="1:10">
      <c r="A31" s="591"/>
      <c r="B31" s="591"/>
      <c r="C31" s="591"/>
      <c r="D31" s="621"/>
      <c r="F31" s="591"/>
    </row>
    <row r="32" spans="1:10">
      <c r="A32" s="591" t="s">
        <v>10410</v>
      </c>
    </row>
    <row r="33" spans="1:1">
      <c r="A33" s="625"/>
    </row>
  </sheetData>
  <printOptions gridLinesSet="0"/>
  <pageMargins left="0.78740157480314965" right="0" top="0.51181102362204722" bottom="0.51181102362204722" header="0.51181102362204722" footer="0.51181102362204722"/>
  <pageSetup paperSize="9" scale="73" orientation="portrait" horizontalDpi="300" verticalDpi="300" r:id="rId1"/>
  <headerFooter alignWithMargins="0">
    <oddFooter>&amp;C&amp;"Times New Roman,Regular"&amp;8&amp;P of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8"/>
  <sheetViews>
    <sheetView showGridLines="0" zoomScaleNormal="100" workbookViewId="0"/>
  </sheetViews>
  <sheetFormatPr defaultColWidth="12.59765625" defaultRowHeight="14.5"/>
  <cols>
    <col min="1" max="1" width="4.8984375" style="595" customWidth="1"/>
    <col min="2" max="2" width="40.69921875" style="595" customWidth="1"/>
    <col min="3" max="3" width="11.59765625" style="595" customWidth="1"/>
    <col min="4" max="4" width="10" style="595" customWidth="1"/>
    <col min="5" max="5" width="2.296875" style="595" customWidth="1"/>
    <col min="6" max="6" width="33" style="595" customWidth="1"/>
    <col min="7" max="16384" width="12.59765625" style="595"/>
  </cols>
  <sheetData>
    <row r="1" spans="1:6">
      <c r="A1" s="507" t="s">
        <v>9176</v>
      </c>
      <c r="D1" s="596">
        <v>2016</v>
      </c>
    </row>
    <row r="3" spans="1:6">
      <c r="A3" s="507" t="s">
        <v>10411</v>
      </c>
      <c r="D3" s="597">
        <f>SUM(D17:D36)</f>
        <v>151151</v>
      </c>
    </row>
    <row r="5" spans="1:6">
      <c r="A5" s="507" t="s">
        <v>10208</v>
      </c>
      <c r="D5" s="601">
        <f>NEWHAM!D5</f>
        <v>37420</v>
      </c>
      <c r="F5" s="595" t="s">
        <v>10209</v>
      </c>
    </row>
    <row r="6" spans="1:6" ht="15" thickBot="1">
      <c r="D6" s="599">
        <f>SUM(D19:D22)+D25</f>
        <v>40412</v>
      </c>
      <c r="F6" s="507" t="s">
        <v>9691</v>
      </c>
    </row>
    <row r="7" spans="1:6" ht="15" thickBot="1">
      <c r="A7" s="507"/>
      <c r="D7" s="600">
        <f>D5+D6</f>
        <v>77832</v>
      </c>
      <c r="F7" s="507"/>
    </row>
    <row r="8" spans="1:6">
      <c r="A8" s="507"/>
      <c r="D8" s="597"/>
      <c r="F8" s="507"/>
    </row>
    <row r="9" spans="1:6">
      <c r="A9" s="507" t="s">
        <v>9690</v>
      </c>
      <c r="D9" s="597">
        <f>HACKNEY!D11</f>
        <v>39573</v>
      </c>
      <c r="F9" s="507" t="s">
        <v>9688</v>
      </c>
    </row>
    <row r="10" spans="1:6" ht="15" thickBot="1">
      <c r="A10" s="507"/>
      <c r="D10" s="597">
        <f>D17+D31+D33+D35</f>
        <v>35876</v>
      </c>
      <c r="F10" s="507" t="s">
        <v>9691</v>
      </c>
    </row>
    <row r="11" spans="1:6" ht="15" thickBot="1">
      <c r="A11" s="507"/>
      <c r="D11" s="600">
        <f>D9+D10</f>
        <v>75449</v>
      </c>
      <c r="F11" s="507"/>
    </row>
    <row r="12" spans="1:6">
      <c r="D12" s="601"/>
    </row>
    <row r="13" spans="1:6" ht="16.5" customHeight="1">
      <c r="A13" s="507" t="s">
        <v>10412</v>
      </c>
      <c r="D13" s="626">
        <f>D18+D23+D24+SUM(D26:D30)+D32+D34+D36</f>
        <v>74863</v>
      </c>
      <c r="F13" s="507" t="s">
        <v>9691</v>
      </c>
    </row>
    <row r="14" spans="1:6">
      <c r="D14" s="601"/>
    </row>
    <row r="15" spans="1:6">
      <c r="A15" s="507" t="s">
        <v>1041</v>
      </c>
      <c r="D15" s="597">
        <f>D6+D10+D13</f>
        <v>151151</v>
      </c>
    </row>
    <row r="16" spans="1:6">
      <c r="D16" s="601"/>
    </row>
    <row r="17" spans="1:10">
      <c r="A17" s="507" t="s">
        <v>812</v>
      </c>
      <c r="B17" s="507" t="s">
        <v>10413</v>
      </c>
      <c r="C17" s="306" t="s">
        <v>10414</v>
      </c>
      <c r="D17" s="293">
        <v>11043</v>
      </c>
      <c r="F17" s="507" t="s">
        <v>9690</v>
      </c>
      <c r="H17" s="306"/>
      <c r="J17" s="292"/>
    </row>
    <row r="18" spans="1:10">
      <c r="A18" s="507" t="s">
        <v>813</v>
      </c>
      <c r="B18" s="507" t="s">
        <v>10415</v>
      </c>
      <c r="C18" s="306" t="s">
        <v>10416</v>
      </c>
      <c r="D18" s="293">
        <v>7284</v>
      </c>
      <c r="F18" s="507" t="s">
        <v>10412</v>
      </c>
      <c r="H18" s="306"/>
      <c r="J18" s="292"/>
    </row>
    <row r="19" spans="1:10">
      <c r="A19" s="507" t="s">
        <v>814</v>
      </c>
      <c r="B19" s="507" t="s">
        <v>10417</v>
      </c>
      <c r="C19" s="306" t="s">
        <v>10418</v>
      </c>
      <c r="D19" s="293">
        <v>10427</v>
      </c>
      <c r="F19" s="507" t="s">
        <v>10208</v>
      </c>
      <c r="H19" s="306"/>
      <c r="J19" s="292"/>
    </row>
    <row r="20" spans="1:10">
      <c r="A20" s="507" t="s">
        <v>815</v>
      </c>
      <c r="B20" s="507" t="s">
        <v>10419</v>
      </c>
      <c r="C20" s="306" t="s">
        <v>10420</v>
      </c>
      <c r="D20" s="293">
        <v>7850</v>
      </c>
      <c r="F20" s="507" t="s">
        <v>10208</v>
      </c>
      <c r="H20" s="306"/>
      <c r="J20" s="292"/>
    </row>
    <row r="21" spans="1:10">
      <c r="A21" s="507" t="s">
        <v>816</v>
      </c>
      <c r="B21" s="507" t="s">
        <v>10421</v>
      </c>
      <c r="C21" s="306" t="s">
        <v>10422</v>
      </c>
      <c r="D21" s="293">
        <v>5980</v>
      </c>
      <c r="F21" s="507" t="s">
        <v>10208</v>
      </c>
      <c r="H21" s="306"/>
      <c r="J21" s="292"/>
    </row>
    <row r="22" spans="1:10">
      <c r="A22" s="507" t="s">
        <v>826</v>
      </c>
      <c r="B22" s="507" t="s">
        <v>10423</v>
      </c>
      <c r="C22" s="306" t="s">
        <v>10424</v>
      </c>
      <c r="D22" s="293">
        <v>6532</v>
      </c>
      <c r="F22" s="507" t="s">
        <v>10208</v>
      </c>
      <c r="H22" s="306"/>
      <c r="J22" s="292"/>
    </row>
    <row r="23" spans="1:10">
      <c r="A23" s="507" t="s">
        <v>827</v>
      </c>
      <c r="B23" s="507" t="s">
        <v>10425</v>
      </c>
      <c r="C23" s="306" t="s">
        <v>10426</v>
      </c>
      <c r="D23" s="293">
        <v>6517</v>
      </c>
      <c r="F23" s="507" t="s">
        <v>10412</v>
      </c>
      <c r="H23" s="306"/>
      <c r="J23" s="292"/>
    </row>
    <row r="24" spans="1:10">
      <c r="A24" s="507" t="s">
        <v>828</v>
      </c>
      <c r="B24" s="507" t="s">
        <v>10427</v>
      </c>
      <c r="C24" s="306" t="s">
        <v>10428</v>
      </c>
      <c r="D24" s="293">
        <v>7220</v>
      </c>
      <c r="F24" s="507" t="s">
        <v>10412</v>
      </c>
      <c r="H24" s="306"/>
      <c r="J24" s="292"/>
    </row>
    <row r="25" spans="1:10">
      <c r="A25" s="507" t="s">
        <v>829</v>
      </c>
      <c r="B25" s="507" t="s">
        <v>10429</v>
      </c>
      <c r="C25" s="306" t="s">
        <v>10430</v>
      </c>
      <c r="D25" s="293">
        <v>9623</v>
      </c>
      <c r="F25" s="507" t="s">
        <v>10208</v>
      </c>
      <c r="H25" s="306"/>
      <c r="J25" s="292"/>
    </row>
    <row r="26" spans="1:10">
      <c r="A26" s="507" t="s">
        <v>830</v>
      </c>
      <c r="B26" s="507" t="s">
        <v>10431</v>
      </c>
      <c r="C26" s="306" t="s">
        <v>10432</v>
      </c>
      <c r="D26" s="295">
        <v>3659</v>
      </c>
      <c r="F26" s="507" t="s">
        <v>10412</v>
      </c>
      <c r="H26" s="306"/>
      <c r="J26" s="292"/>
    </row>
    <row r="27" spans="1:10">
      <c r="A27" s="507" t="s">
        <v>831</v>
      </c>
      <c r="B27" s="507" t="s">
        <v>7659</v>
      </c>
      <c r="C27" s="306" t="s">
        <v>10433</v>
      </c>
      <c r="D27" s="295">
        <v>10236</v>
      </c>
      <c r="F27" s="507" t="s">
        <v>10412</v>
      </c>
      <c r="H27" s="306"/>
      <c r="J27" s="292"/>
    </row>
    <row r="28" spans="1:10">
      <c r="A28" s="507" t="s">
        <v>832</v>
      </c>
      <c r="B28" s="507" t="s">
        <v>3220</v>
      </c>
      <c r="C28" s="306" t="s">
        <v>10434</v>
      </c>
      <c r="D28" s="295">
        <v>3418</v>
      </c>
      <c r="F28" s="507" t="s">
        <v>10412</v>
      </c>
      <c r="H28" s="306"/>
      <c r="J28" s="292"/>
    </row>
    <row r="29" spans="1:10">
      <c r="A29" s="507" t="s">
        <v>833</v>
      </c>
      <c r="B29" s="507" t="s">
        <v>10435</v>
      </c>
      <c r="C29" s="306" t="s">
        <v>10436</v>
      </c>
      <c r="D29" s="293">
        <v>7336</v>
      </c>
      <c r="F29" s="507" t="s">
        <v>10412</v>
      </c>
      <c r="H29" s="306"/>
      <c r="J29" s="292"/>
    </row>
    <row r="30" spans="1:10">
      <c r="A30" s="507" t="s">
        <v>834</v>
      </c>
      <c r="B30" s="507" t="s">
        <v>10437</v>
      </c>
      <c r="C30" s="306" t="s">
        <v>10438</v>
      </c>
      <c r="D30" s="295">
        <v>6728</v>
      </c>
      <c r="F30" s="507" t="s">
        <v>10412</v>
      </c>
      <c r="H30" s="306"/>
      <c r="J30" s="292"/>
    </row>
    <row r="31" spans="1:10">
      <c r="A31" s="507" t="s">
        <v>835</v>
      </c>
      <c r="B31" s="507" t="s">
        <v>1026</v>
      </c>
      <c r="C31" s="306" t="s">
        <v>10439</v>
      </c>
      <c r="D31" s="293">
        <v>10598</v>
      </c>
      <c r="F31" s="507" t="s">
        <v>9690</v>
      </c>
      <c r="H31" s="306"/>
      <c r="J31" s="292"/>
    </row>
    <row r="32" spans="1:10">
      <c r="A32" s="507" t="s">
        <v>836</v>
      </c>
      <c r="B32" s="507" t="s">
        <v>10440</v>
      </c>
      <c r="C32" s="306" t="s">
        <v>10441</v>
      </c>
      <c r="D32" s="295">
        <v>7086</v>
      </c>
      <c r="F32" s="507" t="s">
        <v>10412</v>
      </c>
      <c r="H32" s="306"/>
      <c r="J32" s="292"/>
    </row>
    <row r="33" spans="1:10">
      <c r="A33" s="507" t="s">
        <v>837</v>
      </c>
      <c r="B33" s="507" t="s">
        <v>10442</v>
      </c>
      <c r="C33" s="306" t="s">
        <v>10443</v>
      </c>
      <c r="D33" s="293">
        <v>6792</v>
      </c>
      <c r="F33" s="507" t="s">
        <v>9690</v>
      </c>
      <c r="H33" s="306"/>
      <c r="J33" s="292"/>
    </row>
    <row r="34" spans="1:10">
      <c r="A34" s="94">
        <v>18</v>
      </c>
      <c r="B34" s="507" t="s">
        <v>10444</v>
      </c>
      <c r="C34" s="306" t="s">
        <v>10445</v>
      </c>
      <c r="D34" s="293">
        <v>7232</v>
      </c>
      <c r="F34" s="507" t="s">
        <v>10412</v>
      </c>
      <c r="H34" s="306"/>
      <c r="J34" s="292"/>
    </row>
    <row r="35" spans="1:10">
      <c r="A35" s="94">
        <v>19</v>
      </c>
      <c r="B35" s="507" t="s">
        <v>10446</v>
      </c>
      <c r="C35" s="306" t="s">
        <v>10447</v>
      </c>
      <c r="D35" s="293">
        <v>7443</v>
      </c>
      <c r="F35" s="507" t="s">
        <v>9690</v>
      </c>
      <c r="H35" s="306"/>
      <c r="J35" s="292"/>
    </row>
    <row r="36" spans="1:10">
      <c r="A36" s="94">
        <v>20</v>
      </c>
      <c r="B36" s="595" t="s">
        <v>10448</v>
      </c>
      <c r="C36" s="306" t="s">
        <v>10449</v>
      </c>
      <c r="D36" s="295">
        <v>8147</v>
      </c>
      <c r="F36" s="507" t="s">
        <v>10412</v>
      </c>
      <c r="H36" s="306"/>
      <c r="J36" s="292"/>
    </row>
    <row r="37" spans="1:10">
      <c r="A37" s="507"/>
      <c r="C37" s="292"/>
      <c r="D37" s="627"/>
      <c r="F37" s="507"/>
      <c r="H37" s="292"/>
      <c r="J37" s="292"/>
    </row>
    <row r="38" spans="1:10">
      <c r="A38" s="595" t="s">
        <v>10450</v>
      </c>
      <c r="D38" s="597"/>
      <c r="F38" s="507"/>
    </row>
  </sheetData>
  <printOptions gridLinesSet="0"/>
  <pageMargins left="0.78740157480314965" right="0" top="0.51181102362204722" bottom="0.51181102362204722" header="0.51181102362204722" footer="0.51181102362204722"/>
  <pageSetup paperSize="9" scale="73" orientation="portrait" horizontalDpi="300" verticalDpi="300" r:id="rId1"/>
  <headerFooter alignWithMargins="0">
    <oddFooter>&amp;C&amp;"Times New Roman,Regular"&amp;8&amp;P of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28"/>
  <sheetViews>
    <sheetView showGridLines="0" zoomScaleNormal="100" workbookViewId="0"/>
  </sheetViews>
  <sheetFormatPr defaultColWidth="12.59765625" defaultRowHeight="14.5"/>
  <cols>
    <col min="1" max="1" width="4.8984375" style="317" customWidth="1"/>
    <col min="2" max="2" width="40.69921875" style="317" customWidth="1"/>
    <col min="3" max="3" width="11.59765625" style="317" customWidth="1"/>
    <col min="4" max="4" width="10.09765625" style="317" customWidth="1"/>
    <col min="5" max="5" width="2.296875" style="317" customWidth="1"/>
    <col min="6" max="6" width="39.09765625" style="317" customWidth="1"/>
    <col min="7" max="16384" width="12.59765625" style="317"/>
  </cols>
  <sheetData>
    <row r="1" spans="1:6">
      <c r="A1" s="304" t="s">
        <v>1075</v>
      </c>
      <c r="D1" s="318">
        <v>2016</v>
      </c>
    </row>
    <row r="3" spans="1:6">
      <c r="A3" s="304" t="s">
        <v>6017</v>
      </c>
      <c r="D3" s="319">
        <f t="shared" ref="D3" si="0">SUM(D5:D9)</f>
        <v>792738</v>
      </c>
    </row>
    <row r="4" spans="1:6">
      <c r="D4" s="320"/>
    </row>
    <row r="5" spans="1:6">
      <c r="A5" s="304" t="s">
        <v>6522</v>
      </c>
      <c r="C5" s="304"/>
      <c r="D5" s="319">
        <f t="shared" ref="D5" si="1">D62</f>
        <v>140942</v>
      </c>
      <c r="F5" s="321"/>
    </row>
    <row r="6" spans="1:6">
      <c r="A6" s="304" t="s">
        <v>6523</v>
      </c>
      <c r="C6" s="304"/>
      <c r="D6" s="319">
        <f t="shared" ref="D6" si="2">D99</f>
        <v>180183</v>
      </c>
      <c r="F6" s="321"/>
    </row>
    <row r="7" spans="1:6">
      <c r="A7" s="304" t="s">
        <v>6524</v>
      </c>
      <c r="C7" s="304"/>
      <c r="D7" s="319">
        <f t="shared" ref="D7" si="3">D136</f>
        <v>151045</v>
      </c>
      <c r="F7" s="321"/>
    </row>
    <row r="8" spans="1:6">
      <c r="A8" s="304" t="s">
        <v>6525</v>
      </c>
      <c r="C8" s="304"/>
      <c r="D8" s="319">
        <f t="shared" ref="D8" si="4">D166</f>
        <v>115022</v>
      </c>
      <c r="F8" s="321"/>
    </row>
    <row r="9" spans="1:6">
      <c r="A9" s="304" t="s">
        <v>6526</v>
      </c>
      <c r="C9" s="304"/>
      <c r="D9" s="319">
        <f t="shared" ref="D9" si="5">D194</f>
        <v>205546</v>
      </c>
      <c r="F9" s="321"/>
    </row>
    <row r="11" spans="1:6">
      <c r="A11" s="304" t="s">
        <v>6527</v>
      </c>
      <c r="D11" s="319">
        <f t="shared" ref="D11" si="6">D86</f>
        <v>39806</v>
      </c>
      <c r="F11" s="304" t="s">
        <v>6207</v>
      </c>
    </row>
    <row r="12" spans="1:6" ht="15" thickBot="1">
      <c r="A12" s="304"/>
      <c r="D12" s="322">
        <f>D127</f>
        <v>35795</v>
      </c>
      <c r="F12" s="304" t="s">
        <v>6387</v>
      </c>
    </row>
    <row r="13" spans="1:6" ht="15" thickBot="1">
      <c r="A13" s="304"/>
      <c r="D13" s="323">
        <f>D11+D12</f>
        <v>75601</v>
      </c>
      <c r="F13" s="304"/>
    </row>
    <row r="14" spans="1:6">
      <c r="A14" s="304"/>
      <c r="D14" s="319"/>
      <c r="F14" s="304"/>
    </row>
    <row r="15" spans="1:6">
      <c r="A15" s="296" t="s">
        <v>6200</v>
      </c>
      <c r="D15" s="319">
        <f>DURHAM!D9</f>
        <v>64612</v>
      </c>
      <c r="F15" s="304" t="s">
        <v>6024</v>
      </c>
    </row>
    <row r="16" spans="1:6" ht="15" thickBot="1">
      <c r="A16" s="304"/>
      <c r="D16" s="322">
        <f>D221</f>
        <v>8632</v>
      </c>
      <c r="F16" s="304" t="s">
        <v>6201</v>
      </c>
    </row>
    <row r="17" spans="1:6" ht="15" thickBot="1">
      <c r="A17" s="304"/>
      <c r="D17" s="323">
        <f>D15+D16</f>
        <v>73244</v>
      </c>
      <c r="F17" s="304"/>
    </row>
    <row r="18" spans="1:6">
      <c r="D18" s="320"/>
    </row>
    <row r="19" spans="1:6">
      <c r="A19" s="304" t="s">
        <v>6528</v>
      </c>
      <c r="D19" s="319">
        <f t="shared" ref="D19" si="7">D87</f>
        <v>68561</v>
      </c>
      <c r="F19" s="304" t="s">
        <v>6207</v>
      </c>
    </row>
    <row r="20" spans="1:6" ht="15" thickBot="1">
      <c r="A20" s="304"/>
      <c r="D20" s="322">
        <f>D223</f>
        <v>8978</v>
      </c>
      <c r="F20" s="304" t="s">
        <v>6201</v>
      </c>
    </row>
    <row r="21" spans="1:6" ht="15" thickBot="1">
      <c r="A21" s="304"/>
      <c r="D21" s="323">
        <f>D19+D20</f>
        <v>77539</v>
      </c>
      <c r="F21" s="304"/>
    </row>
    <row r="22" spans="1:6">
      <c r="A22" s="304"/>
      <c r="D22" s="319"/>
      <c r="F22" s="304"/>
    </row>
    <row r="23" spans="1:6">
      <c r="A23" s="296" t="s">
        <v>6204</v>
      </c>
      <c r="D23" s="320">
        <f>DURHAM!D15</f>
        <v>48748</v>
      </c>
      <c r="F23" s="304" t="s">
        <v>6024</v>
      </c>
    </row>
    <row r="24" spans="1:6" ht="15" thickBot="1">
      <c r="D24" s="322">
        <f t="shared" ref="D24" si="8">D222</f>
        <v>25346</v>
      </c>
      <c r="F24" s="304" t="s">
        <v>6201</v>
      </c>
    </row>
    <row r="25" spans="1:6" ht="15" thickBot="1">
      <c r="A25" s="304"/>
      <c r="D25" s="323">
        <f>D23+D24</f>
        <v>74094</v>
      </c>
      <c r="F25" s="304"/>
    </row>
    <row r="26" spans="1:6">
      <c r="A26" s="304"/>
      <c r="D26" s="319"/>
      <c r="F26" s="304"/>
    </row>
    <row r="27" spans="1:6">
      <c r="A27" s="304" t="s">
        <v>6529</v>
      </c>
      <c r="D27" s="319">
        <f t="shared" ref="D27" si="9">D88</f>
        <v>5972</v>
      </c>
      <c r="F27" s="304" t="s">
        <v>6207</v>
      </c>
    </row>
    <row r="28" spans="1:6">
      <c r="D28" s="324">
        <f t="shared" ref="D28" si="10">D186</f>
        <v>43879</v>
      </c>
      <c r="F28" s="304" t="s">
        <v>6530</v>
      </c>
    </row>
    <row r="29" spans="1:6" ht="15" thickBot="1">
      <c r="D29" s="322">
        <f>D224</f>
        <v>24622</v>
      </c>
      <c r="F29" s="304" t="s">
        <v>6201</v>
      </c>
    </row>
    <row r="30" spans="1:6" ht="15" thickBot="1">
      <c r="D30" s="322">
        <f>SUM(D27:D29)</f>
        <v>74473</v>
      </c>
    </row>
    <row r="31" spans="1:6">
      <c r="D31" s="320"/>
    </row>
    <row r="32" spans="1:6">
      <c r="A32" s="304" t="s">
        <v>6531</v>
      </c>
      <c r="D32" s="319">
        <f t="shared" ref="D32" si="11">D128</f>
        <v>76406</v>
      </c>
      <c r="F32" s="304" t="s">
        <v>6532</v>
      </c>
    </row>
    <row r="33" spans="1:6">
      <c r="D33" s="320"/>
    </row>
    <row r="34" spans="1:6">
      <c r="A34" s="304" t="s">
        <v>6386</v>
      </c>
      <c r="D34" s="319">
        <f t="shared" ref="D34" si="12">D129</f>
        <v>67982</v>
      </c>
      <c r="F34" s="304" t="s">
        <v>6532</v>
      </c>
    </row>
    <row r="35" spans="1:6" ht="15" thickBot="1">
      <c r="A35" s="304"/>
      <c r="D35" s="322">
        <f>NORTHUMBERLAND!D12</f>
        <v>3297</v>
      </c>
      <c r="F35" s="307" t="s">
        <v>6383</v>
      </c>
    </row>
    <row r="36" spans="1:6" ht="15" thickBot="1">
      <c r="A36" s="304"/>
      <c r="D36" s="323">
        <f>D34+D35</f>
        <v>71279</v>
      </c>
      <c r="F36" s="304"/>
    </row>
    <row r="37" spans="1:6">
      <c r="D37" s="320"/>
    </row>
    <row r="38" spans="1:6">
      <c r="A38" s="304" t="s">
        <v>6205</v>
      </c>
      <c r="D38" s="320">
        <f>DURHAM!D23</f>
        <v>64810</v>
      </c>
      <c r="F38" s="317" t="s">
        <v>6024</v>
      </c>
    </row>
    <row r="39" spans="1:6" ht="15" thickBot="1">
      <c r="D39" s="325">
        <f>D89</f>
        <v>6963</v>
      </c>
      <c r="F39" s="317" t="s">
        <v>6207</v>
      </c>
    </row>
    <row r="40" spans="1:6" ht="15" thickBot="1">
      <c r="D40" s="326">
        <f>D38+D39</f>
        <v>71773</v>
      </c>
    </row>
    <row r="41" spans="1:6">
      <c r="D41" s="320"/>
    </row>
    <row r="42" spans="1:6">
      <c r="A42" s="304" t="s">
        <v>6533</v>
      </c>
      <c r="D42" s="319">
        <f t="shared" ref="D42" si="13">D158</f>
        <v>76427</v>
      </c>
      <c r="F42" s="304" t="s">
        <v>6534</v>
      </c>
    </row>
    <row r="43" spans="1:6">
      <c r="D43" s="320"/>
    </row>
    <row r="44" spans="1:6">
      <c r="A44" s="304" t="s">
        <v>6535</v>
      </c>
      <c r="D44" s="319">
        <f t="shared" ref="D44" si="14">D187</f>
        <v>71143</v>
      </c>
      <c r="F44" s="304" t="s">
        <v>6530</v>
      </c>
    </row>
    <row r="45" spans="1:6">
      <c r="D45" s="320"/>
    </row>
    <row r="46" spans="1:6">
      <c r="A46" s="304" t="s">
        <v>6536</v>
      </c>
      <c r="D46" s="319">
        <f t="shared" ref="D46" si="15">D225</f>
        <v>71232</v>
      </c>
      <c r="F46" s="304" t="s">
        <v>6201</v>
      </c>
    </row>
    <row r="47" spans="1:6">
      <c r="D47" s="320"/>
    </row>
    <row r="48" spans="1:6">
      <c r="A48" s="304" t="s">
        <v>6537</v>
      </c>
      <c r="D48" s="319">
        <f t="shared" ref="D48" si="16">D159</f>
        <v>74618</v>
      </c>
      <c r="F48" s="304" t="s">
        <v>6534</v>
      </c>
    </row>
    <row r="49" spans="1:10">
      <c r="D49" s="320"/>
    </row>
    <row r="50" spans="1:10">
      <c r="A50" s="304" t="s">
        <v>6538</v>
      </c>
      <c r="D50" s="320">
        <f>D90</f>
        <v>5984</v>
      </c>
      <c r="F50" s="317" t="s">
        <v>6207</v>
      </c>
    </row>
    <row r="51" spans="1:10" ht="15" thickBot="1">
      <c r="D51" s="322">
        <f t="shared" ref="D51" si="17">D226</f>
        <v>66736</v>
      </c>
      <c r="F51" s="304" t="s">
        <v>6201</v>
      </c>
    </row>
    <row r="52" spans="1:10" ht="15" thickBot="1">
      <c r="D52" s="323">
        <f>D50+D51</f>
        <v>72720</v>
      </c>
      <c r="F52" s="304"/>
    </row>
    <row r="53" spans="1:10">
      <c r="A53" s="304"/>
      <c r="D53" s="319"/>
      <c r="F53" s="304"/>
    </row>
    <row r="54" spans="1:10">
      <c r="A54" s="305" t="s">
        <v>6206</v>
      </c>
      <c r="D54" s="319">
        <f>DURHAM!D27</f>
        <v>60846</v>
      </c>
      <c r="F54" s="304" t="s">
        <v>6024</v>
      </c>
    </row>
    <row r="55" spans="1:10" ht="15" thickBot="1">
      <c r="A55" s="304"/>
      <c r="D55" s="322">
        <f>D91</f>
        <v>13656</v>
      </c>
      <c r="F55" s="304" t="s">
        <v>6207</v>
      </c>
    </row>
    <row r="56" spans="1:10" ht="15" thickBot="1">
      <c r="A56" s="304"/>
      <c r="D56" s="323">
        <f>D54+D55</f>
        <v>74502</v>
      </c>
      <c r="F56" s="304"/>
    </row>
    <row r="57" spans="1:10">
      <c r="D57" s="320"/>
    </row>
    <row r="58" spans="1:10">
      <c r="A58" s="304" t="s">
        <v>1041</v>
      </c>
      <c r="D58" s="319">
        <f>D13+D16+D21+D24+D30+D32+D34+D39+D42+D44+D46+D48+D52+D55</f>
        <v>792738</v>
      </c>
    </row>
    <row r="59" spans="1:10">
      <c r="A59" s="327"/>
      <c r="D59" s="328"/>
    </row>
    <row r="60" spans="1:10">
      <c r="D60" s="10" t="s">
        <v>285</v>
      </c>
      <c r="E60" s="11"/>
      <c r="F60" s="38" t="s">
        <v>4116</v>
      </c>
    </row>
    <row r="61" spans="1:10">
      <c r="D61" s="318">
        <v>2016</v>
      </c>
      <c r="F61" s="12" t="s">
        <v>286</v>
      </c>
    </row>
    <row r="62" spans="1:10">
      <c r="A62" s="304" t="s">
        <v>6539</v>
      </c>
      <c r="C62" s="304"/>
      <c r="D62" s="319">
        <f>SUM(D63:D84)</f>
        <v>140942</v>
      </c>
    </row>
    <row r="63" spans="1:10">
      <c r="A63" s="304" t="s">
        <v>812</v>
      </c>
      <c r="B63" s="304" t="s">
        <v>6540</v>
      </c>
      <c r="C63" s="292" t="s">
        <v>6541</v>
      </c>
      <c r="D63" s="293">
        <v>5984</v>
      </c>
      <c r="F63" s="304" t="s">
        <v>6538</v>
      </c>
      <c r="H63" s="292"/>
      <c r="J63" s="292"/>
    </row>
    <row r="64" spans="1:10">
      <c r="A64" s="304" t="s">
        <v>813</v>
      </c>
      <c r="B64" s="304" t="s">
        <v>6542</v>
      </c>
      <c r="C64" s="292" t="s">
        <v>6543</v>
      </c>
      <c r="D64" s="293">
        <v>6953</v>
      </c>
      <c r="F64" s="304" t="s">
        <v>6527</v>
      </c>
      <c r="H64" s="292"/>
      <c r="J64" s="292"/>
    </row>
    <row r="65" spans="1:10">
      <c r="A65" s="304" t="s">
        <v>814</v>
      </c>
      <c r="B65" s="304" t="s">
        <v>6544</v>
      </c>
      <c r="C65" s="292" t="s">
        <v>6545</v>
      </c>
      <c r="D65" s="293">
        <v>5316</v>
      </c>
      <c r="F65" s="304" t="s">
        <v>6528</v>
      </c>
      <c r="H65" s="292"/>
      <c r="J65" s="292"/>
    </row>
    <row r="66" spans="1:10">
      <c r="A66" s="304" t="s">
        <v>815</v>
      </c>
      <c r="B66" s="304" t="s">
        <v>6546</v>
      </c>
      <c r="C66" s="306" t="s">
        <v>6547</v>
      </c>
      <c r="D66" s="293">
        <v>6954</v>
      </c>
      <c r="F66" s="305" t="s">
        <v>6206</v>
      </c>
      <c r="H66" s="292"/>
      <c r="J66" s="292"/>
    </row>
    <row r="67" spans="1:10">
      <c r="A67" s="304" t="s">
        <v>816</v>
      </c>
      <c r="B67" s="304" t="s">
        <v>6548</v>
      </c>
      <c r="C67" s="292" t="s">
        <v>6549</v>
      </c>
      <c r="D67" s="293">
        <v>6892</v>
      </c>
      <c r="F67" s="304" t="s">
        <v>6528</v>
      </c>
      <c r="H67" s="292"/>
      <c r="J67" s="292"/>
    </row>
    <row r="68" spans="1:10">
      <c r="A68" s="304" t="s">
        <v>826</v>
      </c>
      <c r="B68" s="304" t="s">
        <v>6550</v>
      </c>
      <c r="C68" s="292" t="s">
        <v>6551</v>
      </c>
      <c r="D68" s="293">
        <v>6659</v>
      </c>
      <c r="F68" s="304" t="s">
        <v>6527</v>
      </c>
      <c r="H68" s="292"/>
      <c r="J68" s="292"/>
    </row>
    <row r="69" spans="1:10">
      <c r="A69" s="304" t="s">
        <v>827</v>
      </c>
      <c r="B69" s="304" t="s">
        <v>6552</v>
      </c>
      <c r="C69" s="292" t="s">
        <v>6553</v>
      </c>
      <c r="D69" s="293">
        <v>6371</v>
      </c>
      <c r="F69" s="304" t="s">
        <v>6528</v>
      </c>
      <c r="H69" s="292"/>
      <c r="J69" s="292"/>
    </row>
    <row r="70" spans="1:10">
      <c r="A70" s="304" t="s">
        <v>828</v>
      </c>
      <c r="B70" s="304" t="s">
        <v>6554</v>
      </c>
      <c r="C70" s="292" t="s">
        <v>6555</v>
      </c>
      <c r="D70" s="293">
        <v>5823</v>
      </c>
      <c r="F70" s="304" t="s">
        <v>6528</v>
      </c>
      <c r="H70" s="292"/>
      <c r="J70" s="292"/>
    </row>
    <row r="71" spans="1:10">
      <c r="A71" s="304" t="s">
        <v>829</v>
      </c>
      <c r="B71" s="304" t="s">
        <v>6556</v>
      </c>
      <c r="C71" s="292" t="s">
        <v>6557</v>
      </c>
      <c r="D71" s="293">
        <v>6586</v>
      </c>
      <c r="F71" s="304" t="s">
        <v>6527</v>
      </c>
      <c r="H71" s="292"/>
      <c r="J71" s="292"/>
    </row>
    <row r="72" spans="1:10">
      <c r="A72" s="304" t="s">
        <v>830</v>
      </c>
      <c r="B72" s="304" t="s">
        <v>6558</v>
      </c>
      <c r="C72" s="292" t="s">
        <v>6559</v>
      </c>
      <c r="D72" s="293">
        <v>5586</v>
      </c>
      <c r="F72" s="304" t="s">
        <v>6528</v>
      </c>
      <c r="H72" s="292"/>
      <c r="J72" s="292"/>
    </row>
    <row r="73" spans="1:10">
      <c r="A73" s="304" t="s">
        <v>831</v>
      </c>
      <c r="B73" s="304" t="s">
        <v>6560</v>
      </c>
      <c r="C73" s="292" t="s">
        <v>6561</v>
      </c>
      <c r="D73" s="295">
        <v>5895</v>
      </c>
      <c r="F73" s="304" t="s">
        <v>6528</v>
      </c>
      <c r="H73" s="292"/>
      <c r="J73" s="292"/>
    </row>
    <row r="74" spans="1:10">
      <c r="A74" s="304" t="s">
        <v>832</v>
      </c>
      <c r="B74" s="304" t="s">
        <v>6562</v>
      </c>
      <c r="C74" s="292" t="s">
        <v>6563</v>
      </c>
      <c r="D74" s="293">
        <v>6963</v>
      </c>
      <c r="F74" s="304" t="s">
        <v>6205</v>
      </c>
      <c r="H74" s="292"/>
      <c r="J74" s="292"/>
    </row>
    <row r="75" spans="1:10">
      <c r="A75" s="304" t="s">
        <v>833</v>
      </c>
      <c r="B75" s="304" t="s">
        <v>6564</v>
      </c>
      <c r="C75" s="292" t="s">
        <v>6565</v>
      </c>
      <c r="D75" s="295">
        <v>6860</v>
      </c>
      <c r="F75" s="304" t="s">
        <v>6528</v>
      </c>
      <c r="H75" s="292"/>
      <c r="J75" s="292"/>
    </row>
    <row r="76" spans="1:10">
      <c r="A76" s="304" t="s">
        <v>834</v>
      </c>
      <c r="B76" s="304" t="s">
        <v>6566</v>
      </c>
      <c r="C76" s="292" t="s">
        <v>6567</v>
      </c>
      <c r="D76" s="295">
        <v>6910</v>
      </c>
      <c r="F76" s="304" t="s">
        <v>6528</v>
      </c>
      <c r="H76" s="292"/>
      <c r="J76" s="292"/>
    </row>
    <row r="77" spans="1:10">
      <c r="A77" s="304" t="s">
        <v>835</v>
      </c>
      <c r="B77" s="304" t="s">
        <v>6568</v>
      </c>
      <c r="C77" s="292" t="s">
        <v>6569</v>
      </c>
      <c r="D77" s="295">
        <v>6373</v>
      </c>
      <c r="F77" s="304" t="s">
        <v>6528</v>
      </c>
      <c r="H77" s="292"/>
      <c r="J77" s="292"/>
    </row>
    <row r="78" spans="1:10">
      <c r="A78" s="304" t="s">
        <v>836</v>
      </c>
      <c r="B78" s="304" t="s">
        <v>6570</v>
      </c>
      <c r="C78" s="292" t="s">
        <v>6571</v>
      </c>
      <c r="D78" s="293">
        <v>6818</v>
      </c>
      <c r="F78" s="304" t="s">
        <v>6527</v>
      </c>
      <c r="H78" s="292"/>
      <c r="J78" s="292"/>
    </row>
    <row r="79" spans="1:10">
      <c r="A79" s="304" t="s">
        <v>837</v>
      </c>
      <c r="B79" s="304" t="s">
        <v>6572</v>
      </c>
      <c r="C79" s="292" t="s">
        <v>6573</v>
      </c>
      <c r="D79" s="295">
        <v>5470</v>
      </c>
      <c r="F79" s="304" t="s">
        <v>6528</v>
      </c>
      <c r="H79" s="292"/>
      <c r="J79" s="292"/>
    </row>
    <row r="80" spans="1:10">
      <c r="A80" s="304" t="s">
        <v>838</v>
      </c>
      <c r="B80" s="304" t="s">
        <v>6574</v>
      </c>
      <c r="C80" s="292" t="s">
        <v>6575</v>
      </c>
      <c r="D80" s="295">
        <v>5972</v>
      </c>
      <c r="F80" s="304" t="s">
        <v>6529</v>
      </c>
      <c r="H80" s="292"/>
      <c r="J80" s="292"/>
    </row>
    <row r="81" spans="1:10">
      <c r="A81" s="304" t="s">
        <v>840</v>
      </c>
      <c r="B81" s="304" t="s">
        <v>6576</v>
      </c>
      <c r="C81" s="292" t="s">
        <v>6577</v>
      </c>
      <c r="D81" s="293">
        <v>6307</v>
      </c>
      <c r="F81" s="304" t="s">
        <v>6527</v>
      </c>
      <c r="H81" s="292"/>
      <c r="J81" s="292"/>
    </row>
    <row r="82" spans="1:10">
      <c r="A82" s="304" t="s">
        <v>841</v>
      </c>
      <c r="B82" s="304" t="s">
        <v>6578</v>
      </c>
      <c r="C82" s="292" t="s">
        <v>6579</v>
      </c>
      <c r="D82" s="293">
        <v>6483</v>
      </c>
      <c r="F82" s="304" t="s">
        <v>6527</v>
      </c>
      <c r="H82" s="292"/>
      <c r="J82" s="292"/>
    </row>
    <row r="83" spans="1:10">
      <c r="A83" s="304" t="s">
        <v>878</v>
      </c>
      <c r="B83" s="304" t="s">
        <v>6580</v>
      </c>
      <c r="C83" s="292" t="s">
        <v>6581</v>
      </c>
      <c r="D83" s="295">
        <v>7065</v>
      </c>
      <c r="F83" s="304" t="s">
        <v>6528</v>
      </c>
      <c r="H83" s="292"/>
      <c r="J83" s="292"/>
    </row>
    <row r="84" spans="1:10">
      <c r="A84" s="304" t="s">
        <v>879</v>
      </c>
      <c r="B84" s="304" t="s">
        <v>6582</v>
      </c>
      <c r="C84" s="292" t="s">
        <v>6583</v>
      </c>
      <c r="D84" s="293">
        <v>6702</v>
      </c>
      <c r="F84" s="305" t="s">
        <v>6206</v>
      </c>
      <c r="H84" s="292"/>
      <c r="J84" s="292"/>
    </row>
    <row r="85" spans="1:10">
      <c r="D85" s="320"/>
    </row>
    <row r="86" spans="1:10">
      <c r="A86" s="304" t="s">
        <v>6584</v>
      </c>
      <c r="D86" s="319">
        <f>D64+D68+D71+D78+D81+D82</f>
        <v>39806</v>
      </c>
    </row>
    <row r="87" spans="1:10">
      <c r="A87" s="304" t="s">
        <v>6585</v>
      </c>
      <c r="D87" s="319">
        <f>D65+D67+D69+D70+D72+D73+SUM(D75:D77)+D79+D83</f>
        <v>68561</v>
      </c>
    </row>
    <row r="88" spans="1:10">
      <c r="A88" s="304" t="s">
        <v>6586</v>
      </c>
      <c r="D88" s="319">
        <f>D80</f>
        <v>5972</v>
      </c>
    </row>
    <row r="89" spans="1:10">
      <c r="A89" s="304" t="s">
        <v>6378</v>
      </c>
      <c r="D89" s="319">
        <f>D74</f>
        <v>6963</v>
      </c>
    </row>
    <row r="90" spans="1:10">
      <c r="A90" s="304" t="s">
        <v>6587</v>
      </c>
      <c r="D90" s="319">
        <f>D63</f>
        <v>5984</v>
      </c>
    </row>
    <row r="91" spans="1:10">
      <c r="A91" s="305" t="s">
        <v>6379</v>
      </c>
      <c r="D91" s="319">
        <f>D66+D84</f>
        <v>13656</v>
      </c>
    </row>
    <row r="92" spans="1:10">
      <c r="A92" s="304"/>
      <c r="D92" s="319"/>
    </row>
    <row r="93" spans="1:10">
      <c r="A93" s="304" t="s">
        <v>6588</v>
      </c>
      <c r="D93" s="319"/>
    </row>
    <row r="94" spans="1:10">
      <c r="A94" s="304" t="s">
        <v>6589</v>
      </c>
      <c r="D94" s="319"/>
    </row>
    <row r="95" spans="1:10">
      <c r="A95" s="304"/>
      <c r="B95" s="304"/>
      <c r="D95" s="329"/>
    </row>
    <row r="96" spans="1:10">
      <c r="A96" s="304"/>
      <c r="B96" s="304"/>
      <c r="D96" s="329"/>
    </row>
    <row r="97" spans="1:10">
      <c r="D97" s="10" t="s">
        <v>285</v>
      </c>
      <c r="E97" s="11"/>
      <c r="F97" s="38" t="s">
        <v>4116</v>
      </c>
    </row>
    <row r="98" spans="1:10">
      <c r="D98" s="318">
        <v>2016</v>
      </c>
      <c r="F98" s="12" t="s">
        <v>286</v>
      </c>
    </row>
    <row r="99" spans="1:10">
      <c r="A99" s="304" t="s">
        <v>6590</v>
      </c>
      <c r="D99" s="319">
        <f t="shared" ref="D99" si="18">SUM(D100:D125)</f>
        <v>180183</v>
      </c>
    </row>
    <row r="100" spans="1:10">
      <c r="A100" s="304" t="s">
        <v>812</v>
      </c>
      <c r="B100" s="304" t="s">
        <v>6591</v>
      </c>
      <c r="C100" s="292" t="s">
        <v>6592</v>
      </c>
      <c r="D100" s="293">
        <v>8020</v>
      </c>
      <c r="F100" s="304" t="s">
        <v>6527</v>
      </c>
      <c r="H100" s="292"/>
      <c r="J100" s="292"/>
    </row>
    <row r="101" spans="1:10">
      <c r="A101" s="304" t="s">
        <v>813</v>
      </c>
      <c r="B101" s="304" t="s">
        <v>6593</v>
      </c>
      <c r="C101" s="292" t="s">
        <v>6594</v>
      </c>
      <c r="D101" s="293">
        <v>7696</v>
      </c>
      <c r="F101" s="304" t="s">
        <v>6386</v>
      </c>
      <c r="H101" s="292"/>
      <c r="J101" s="292"/>
    </row>
    <row r="102" spans="1:10">
      <c r="A102" s="304" t="s">
        <v>814</v>
      </c>
      <c r="B102" s="304" t="s">
        <v>6595</v>
      </c>
      <c r="C102" s="292" t="s">
        <v>6596</v>
      </c>
      <c r="D102" s="293">
        <v>7074</v>
      </c>
      <c r="F102" s="304" t="s">
        <v>6531</v>
      </c>
      <c r="H102" s="292"/>
      <c r="J102" s="292"/>
    </row>
    <row r="103" spans="1:10">
      <c r="A103" s="304" t="s">
        <v>815</v>
      </c>
      <c r="B103" s="304" t="s">
        <v>883</v>
      </c>
      <c r="C103" s="292" t="s">
        <v>6597</v>
      </c>
      <c r="D103" s="295">
        <v>8578</v>
      </c>
      <c r="F103" s="304" t="s">
        <v>6386</v>
      </c>
      <c r="H103" s="292"/>
      <c r="J103" s="292"/>
    </row>
    <row r="104" spans="1:10">
      <c r="A104" s="304" t="s">
        <v>816</v>
      </c>
      <c r="B104" s="304" t="s">
        <v>6598</v>
      </c>
      <c r="C104" s="292" t="s">
        <v>6599</v>
      </c>
      <c r="D104" s="293">
        <v>7083</v>
      </c>
      <c r="F104" s="304" t="s">
        <v>6531</v>
      </c>
      <c r="H104" s="292"/>
      <c r="J104" s="292"/>
    </row>
    <row r="105" spans="1:10">
      <c r="A105" s="304" t="s">
        <v>826</v>
      </c>
      <c r="B105" s="304" t="s">
        <v>6600</v>
      </c>
      <c r="C105" s="292" t="s">
        <v>6601</v>
      </c>
      <c r="D105" s="295">
        <v>7356</v>
      </c>
      <c r="F105" s="304" t="s">
        <v>6527</v>
      </c>
      <c r="H105" s="292"/>
      <c r="J105" s="292"/>
    </row>
    <row r="106" spans="1:10">
      <c r="A106" s="304" t="s">
        <v>827</v>
      </c>
      <c r="B106" s="304" t="s">
        <v>6602</v>
      </c>
      <c r="C106" s="292" t="s">
        <v>6603</v>
      </c>
      <c r="D106" s="295">
        <v>6874</v>
      </c>
      <c r="F106" s="304" t="s">
        <v>6531</v>
      </c>
      <c r="H106" s="292"/>
      <c r="J106" s="292"/>
    </row>
    <row r="107" spans="1:10">
      <c r="A107" s="304" t="s">
        <v>828</v>
      </c>
      <c r="B107" s="304" t="s">
        <v>6604</v>
      </c>
      <c r="C107" s="292" t="s">
        <v>6605</v>
      </c>
      <c r="D107" s="293">
        <v>6495</v>
      </c>
      <c r="F107" s="304" t="s">
        <v>6527</v>
      </c>
      <c r="H107" s="292"/>
      <c r="J107" s="292"/>
    </row>
    <row r="108" spans="1:10">
      <c r="A108" s="304" t="s">
        <v>829</v>
      </c>
      <c r="B108" s="304" t="s">
        <v>6606</v>
      </c>
      <c r="C108" s="292" t="s">
        <v>6607</v>
      </c>
      <c r="D108" s="295">
        <v>7035</v>
      </c>
      <c r="F108" s="304" t="s">
        <v>6386</v>
      </c>
      <c r="H108" s="292"/>
      <c r="J108" s="292"/>
    </row>
    <row r="109" spans="1:10">
      <c r="A109" s="304" t="s">
        <v>830</v>
      </c>
      <c r="B109" s="304" t="s">
        <v>6608</v>
      </c>
      <c r="C109" s="292" t="s">
        <v>6609</v>
      </c>
      <c r="D109" s="293">
        <v>7521</v>
      </c>
      <c r="F109" s="304" t="s">
        <v>6386</v>
      </c>
      <c r="H109" s="292"/>
      <c r="J109" s="292"/>
    </row>
    <row r="110" spans="1:10">
      <c r="A110" s="304" t="s">
        <v>831</v>
      </c>
      <c r="B110" s="304" t="s">
        <v>6610</v>
      </c>
      <c r="C110" s="292" t="s">
        <v>6611</v>
      </c>
      <c r="D110" s="293">
        <v>7498</v>
      </c>
      <c r="F110" s="304" t="s">
        <v>6386</v>
      </c>
      <c r="H110" s="292"/>
      <c r="J110" s="292"/>
    </row>
    <row r="111" spans="1:10">
      <c r="A111" s="304" t="s">
        <v>832</v>
      </c>
      <c r="B111" s="304" t="s">
        <v>6612</v>
      </c>
      <c r="C111" s="292" t="s">
        <v>6613</v>
      </c>
      <c r="D111" s="295">
        <v>7030</v>
      </c>
      <c r="F111" s="304" t="s">
        <v>6527</v>
      </c>
      <c r="H111" s="292"/>
      <c r="J111" s="292"/>
    </row>
    <row r="112" spans="1:10">
      <c r="A112" s="304" t="s">
        <v>833</v>
      </c>
      <c r="B112" s="304" t="s">
        <v>6614</v>
      </c>
      <c r="C112" s="292" t="s">
        <v>6615</v>
      </c>
      <c r="D112" s="295">
        <v>6894</v>
      </c>
      <c r="F112" s="304" t="s">
        <v>6527</v>
      </c>
      <c r="H112" s="292"/>
      <c r="J112" s="292"/>
    </row>
    <row r="113" spans="1:10">
      <c r="A113" s="304" t="s">
        <v>834</v>
      </c>
      <c r="B113" s="304" t="s">
        <v>6616</v>
      </c>
      <c r="C113" s="292" t="s">
        <v>6617</v>
      </c>
      <c r="D113" s="293">
        <v>6746</v>
      </c>
      <c r="F113" s="304" t="s">
        <v>6531</v>
      </c>
      <c r="H113" s="292"/>
      <c r="J113" s="292"/>
    </row>
    <row r="114" spans="1:10">
      <c r="A114" s="304" t="s">
        <v>835</v>
      </c>
      <c r="B114" s="304" t="s">
        <v>6618</v>
      </c>
      <c r="C114" s="292" t="s">
        <v>6619</v>
      </c>
      <c r="D114" s="293">
        <v>5945</v>
      </c>
      <c r="F114" s="304" t="s">
        <v>6531</v>
      </c>
      <c r="H114" s="292"/>
      <c r="J114" s="292"/>
    </row>
    <row r="115" spans="1:10">
      <c r="A115" s="304" t="s">
        <v>836</v>
      </c>
      <c r="B115" s="304" t="s">
        <v>6620</v>
      </c>
      <c r="C115" s="292" t="s">
        <v>6621</v>
      </c>
      <c r="D115" s="293">
        <v>6283</v>
      </c>
      <c r="F115" s="304" t="s">
        <v>6531</v>
      </c>
      <c r="H115" s="292"/>
      <c r="J115" s="292"/>
    </row>
    <row r="116" spans="1:10">
      <c r="A116" s="304" t="s">
        <v>837</v>
      </c>
      <c r="B116" s="304" t="s">
        <v>5470</v>
      </c>
      <c r="C116" s="292" t="s">
        <v>6622</v>
      </c>
      <c r="D116" s="295">
        <v>7562</v>
      </c>
      <c r="F116" s="304" t="s">
        <v>6386</v>
      </c>
      <c r="H116" s="292"/>
      <c r="J116" s="292"/>
    </row>
    <row r="117" spans="1:10">
      <c r="A117" s="304" t="s">
        <v>838</v>
      </c>
      <c r="B117" s="304" t="s">
        <v>6623</v>
      </c>
      <c r="C117" s="292" t="s">
        <v>6624</v>
      </c>
      <c r="D117" s="293">
        <v>5636</v>
      </c>
      <c r="F117" s="304" t="s">
        <v>6531</v>
      </c>
      <c r="H117" s="292"/>
      <c r="J117" s="292"/>
    </row>
    <row r="118" spans="1:10">
      <c r="A118" s="304" t="s">
        <v>840</v>
      </c>
      <c r="B118" s="304" t="s">
        <v>6625</v>
      </c>
      <c r="C118" s="292" t="s">
        <v>6626</v>
      </c>
      <c r="D118" s="293">
        <v>5561</v>
      </c>
      <c r="F118" s="304" t="s">
        <v>6531</v>
      </c>
      <c r="H118" s="292"/>
      <c r="J118" s="292"/>
    </row>
    <row r="119" spans="1:10">
      <c r="A119" s="304" t="s">
        <v>841</v>
      </c>
      <c r="B119" s="304" t="s">
        <v>6627</v>
      </c>
      <c r="C119" s="292" t="s">
        <v>6628</v>
      </c>
      <c r="D119" s="295">
        <v>7297</v>
      </c>
      <c r="F119" s="304" t="s">
        <v>6531</v>
      </c>
      <c r="H119" s="292"/>
      <c r="J119" s="292"/>
    </row>
    <row r="120" spans="1:10">
      <c r="A120" s="304" t="s">
        <v>878</v>
      </c>
      <c r="B120" s="304" t="s">
        <v>6629</v>
      </c>
      <c r="C120" s="292" t="s">
        <v>6630</v>
      </c>
      <c r="D120" s="295">
        <v>6782</v>
      </c>
      <c r="F120" s="304" t="s">
        <v>6531</v>
      </c>
      <c r="H120" s="292"/>
      <c r="J120" s="292"/>
    </row>
    <row r="121" spans="1:10">
      <c r="A121" s="304" t="s">
        <v>879</v>
      </c>
      <c r="B121" s="304" t="s">
        <v>6631</v>
      </c>
      <c r="C121" s="292" t="s">
        <v>6632</v>
      </c>
      <c r="D121" s="295">
        <v>7443</v>
      </c>
      <c r="F121" s="304" t="s">
        <v>6386</v>
      </c>
      <c r="H121" s="292"/>
      <c r="J121" s="292"/>
    </row>
    <row r="122" spans="1:10">
      <c r="A122" s="304" t="s">
        <v>880</v>
      </c>
      <c r="B122" s="304" t="s">
        <v>543</v>
      </c>
      <c r="C122" s="292" t="s">
        <v>6633</v>
      </c>
      <c r="D122" s="293">
        <v>5039</v>
      </c>
      <c r="F122" s="304" t="s">
        <v>6531</v>
      </c>
      <c r="H122" s="292"/>
      <c r="J122" s="292"/>
    </row>
    <row r="123" spans="1:10">
      <c r="A123" s="304" t="s">
        <v>721</v>
      </c>
      <c r="B123" s="304" t="s">
        <v>6634</v>
      </c>
      <c r="C123" s="292" t="s">
        <v>6635</v>
      </c>
      <c r="D123" s="293">
        <v>7128</v>
      </c>
      <c r="F123" s="304" t="s">
        <v>6386</v>
      </c>
      <c r="H123" s="292"/>
      <c r="J123" s="292"/>
    </row>
    <row r="124" spans="1:10">
      <c r="A124" s="304" t="s">
        <v>722</v>
      </c>
      <c r="B124" s="304" t="s">
        <v>6636</v>
      </c>
      <c r="C124" s="292" t="s">
        <v>6637</v>
      </c>
      <c r="D124" s="293">
        <v>6086</v>
      </c>
      <c r="F124" s="304" t="s">
        <v>6531</v>
      </c>
      <c r="H124" s="292"/>
      <c r="J124" s="292"/>
    </row>
    <row r="125" spans="1:10">
      <c r="A125" s="304" t="s">
        <v>723</v>
      </c>
      <c r="B125" s="304" t="s">
        <v>6638</v>
      </c>
      <c r="C125" s="292" t="s">
        <v>6639</v>
      </c>
      <c r="D125" s="295">
        <v>7521</v>
      </c>
      <c r="F125" s="304" t="s">
        <v>6386</v>
      </c>
      <c r="H125" s="292"/>
      <c r="J125" s="292"/>
    </row>
    <row r="126" spans="1:10">
      <c r="D126" s="320"/>
    </row>
    <row r="127" spans="1:10">
      <c r="A127" s="304" t="s">
        <v>6584</v>
      </c>
      <c r="D127" s="320">
        <f>D100+D105+D107+D111+D112</f>
        <v>35795</v>
      </c>
    </row>
    <row r="128" spans="1:10">
      <c r="A128" s="304" t="s">
        <v>6531</v>
      </c>
      <c r="D128" s="319">
        <f>D102+D104+D106+SUM(D113:D115)+SUM(D117:D120)+D122+D124</f>
        <v>76406</v>
      </c>
    </row>
    <row r="129" spans="1:10">
      <c r="A129" s="304" t="s">
        <v>6519</v>
      </c>
      <c r="D129" s="319">
        <f>D101+D103+SUM(D108:D110)+D116+D121+D123+D125</f>
        <v>67982</v>
      </c>
    </row>
    <row r="130" spans="1:10">
      <c r="A130" s="304"/>
      <c r="B130" s="304"/>
      <c r="D130" s="319"/>
    </row>
    <row r="131" spans="1:10">
      <c r="A131" s="317" t="s">
        <v>6640</v>
      </c>
    </row>
    <row r="134" spans="1:10">
      <c r="D134" s="10" t="s">
        <v>285</v>
      </c>
      <c r="E134" s="11"/>
      <c r="F134" s="38" t="s">
        <v>4116</v>
      </c>
    </row>
    <row r="135" spans="1:10">
      <c r="D135" s="318">
        <v>2016</v>
      </c>
      <c r="F135" s="12" t="s">
        <v>286</v>
      </c>
    </row>
    <row r="136" spans="1:10">
      <c r="A136" s="304" t="s">
        <v>6641</v>
      </c>
      <c r="D136" s="319">
        <f t="shared" ref="D136" si="19">SUM(D137:D156)</f>
        <v>151045</v>
      </c>
    </row>
    <row r="137" spans="1:10">
      <c r="A137" s="304" t="s">
        <v>812</v>
      </c>
      <c r="B137" s="304" t="s">
        <v>6642</v>
      </c>
      <c r="C137" s="292" t="s">
        <v>6643</v>
      </c>
      <c r="D137" s="316">
        <v>7985</v>
      </c>
      <c r="F137" s="304" t="s">
        <v>6533</v>
      </c>
      <c r="H137" s="292"/>
      <c r="J137" s="292"/>
    </row>
    <row r="138" spans="1:10">
      <c r="A138" s="304" t="s">
        <v>813</v>
      </c>
      <c r="B138" s="304" t="s">
        <v>6644</v>
      </c>
      <c r="C138" s="292" t="s">
        <v>6645</v>
      </c>
      <c r="D138" s="316">
        <v>7622</v>
      </c>
      <c r="F138" s="304" t="s">
        <v>6533</v>
      </c>
      <c r="H138" s="292"/>
      <c r="J138" s="292"/>
    </row>
    <row r="139" spans="1:10">
      <c r="A139" s="304" t="s">
        <v>814</v>
      </c>
      <c r="B139" s="304" t="s">
        <v>6646</v>
      </c>
      <c r="C139" s="292" t="s">
        <v>6647</v>
      </c>
      <c r="D139" s="316">
        <v>7711</v>
      </c>
      <c r="F139" s="304" t="s">
        <v>6533</v>
      </c>
      <c r="H139" s="292"/>
      <c r="J139" s="292"/>
    </row>
    <row r="140" spans="1:10">
      <c r="A140" s="304" t="s">
        <v>815</v>
      </c>
      <c r="B140" s="304" t="s">
        <v>6648</v>
      </c>
      <c r="C140" s="292" t="s">
        <v>6649</v>
      </c>
      <c r="D140" s="316">
        <v>7771</v>
      </c>
      <c r="F140" s="304" t="s">
        <v>6537</v>
      </c>
      <c r="H140" s="292"/>
      <c r="J140" s="292"/>
    </row>
    <row r="141" spans="1:10">
      <c r="A141" s="304" t="s">
        <v>816</v>
      </c>
      <c r="B141" s="304" t="s">
        <v>6650</v>
      </c>
      <c r="C141" s="292" t="s">
        <v>6651</v>
      </c>
      <c r="D141" s="316">
        <v>8096</v>
      </c>
      <c r="F141" s="304" t="s">
        <v>6537</v>
      </c>
      <c r="H141" s="292"/>
      <c r="J141" s="292"/>
    </row>
    <row r="142" spans="1:10">
      <c r="A142" s="304" t="s">
        <v>826</v>
      </c>
      <c r="B142" s="304" t="s">
        <v>6652</v>
      </c>
      <c r="C142" s="292" t="s">
        <v>6653</v>
      </c>
      <c r="D142" s="316">
        <v>7424</v>
      </c>
      <c r="F142" s="304" t="s">
        <v>6537</v>
      </c>
      <c r="H142" s="292"/>
      <c r="J142" s="292"/>
    </row>
    <row r="143" spans="1:10">
      <c r="A143" s="304" t="s">
        <v>827</v>
      </c>
      <c r="B143" s="304" t="s">
        <v>6654</v>
      </c>
      <c r="C143" s="292" t="s">
        <v>6655</v>
      </c>
      <c r="D143" s="316">
        <v>7717</v>
      </c>
      <c r="F143" s="304" t="s">
        <v>6533</v>
      </c>
      <c r="H143" s="292"/>
      <c r="J143" s="292"/>
    </row>
    <row r="144" spans="1:10">
      <c r="A144" s="304" t="s">
        <v>828</v>
      </c>
      <c r="B144" s="304" t="s">
        <v>6656</v>
      </c>
      <c r="C144" s="292" t="s">
        <v>6657</v>
      </c>
      <c r="D144" s="316">
        <v>8087</v>
      </c>
      <c r="F144" s="304" t="s">
        <v>6533</v>
      </c>
      <c r="H144" s="292"/>
      <c r="J144" s="292"/>
    </row>
    <row r="145" spans="1:10">
      <c r="A145" s="304" t="s">
        <v>829</v>
      </c>
      <c r="B145" s="304" t="s">
        <v>6658</v>
      </c>
      <c r="C145" s="292" t="s">
        <v>6659</v>
      </c>
      <c r="D145" s="316">
        <v>7845</v>
      </c>
      <c r="F145" s="304" t="s">
        <v>6533</v>
      </c>
      <c r="H145" s="292"/>
      <c r="J145" s="292"/>
    </row>
    <row r="146" spans="1:10">
      <c r="A146" s="304" t="s">
        <v>830</v>
      </c>
      <c r="B146" s="304" t="s">
        <v>6660</v>
      </c>
      <c r="C146" s="292" t="s">
        <v>6661</v>
      </c>
      <c r="D146" s="316">
        <v>6869</v>
      </c>
      <c r="F146" s="304" t="s">
        <v>6537</v>
      </c>
      <c r="H146" s="292"/>
      <c r="J146" s="292"/>
    </row>
    <row r="147" spans="1:10">
      <c r="A147" s="304" t="s">
        <v>831</v>
      </c>
      <c r="B147" s="304" t="s">
        <v>6662</v>
      </c>
      <c r="C147" s="292" t="s">
        <v>6663</v>
      </c>
      <c r="D147" s="316">
        <v>7427</v>
      </c>
      <c r="F147" s="304" t="s">
        <v>6537</v>
      </c>
      <c r="H147" s="292"/>
      <c r="J147" s="292"/>
    </row>
    <row r="148" spans="1:10">
      <c r="A148" s="304" t="s">
        <v>832</v>
      </c>
      <c r="B148" s="304" t="s">
        <v>6664</v>
      </c>
      <c r="C148" s="292" t="s">
        <v>6665</v>
      </c>
      <c r="D148" s="316">
        <v>6580</v>
      </c>
      <c r="F148" s="304" t="s">
        <v>6533</v>
      </c>
      <c r="H148" s="292"/>
      <c r="J148" s="292"/>
    </row>
    <row r="149" spans="1:10">
      <c r="A149" s="304" t="s">
        <v>833</v>
      </c>
      <c r="B149" s="304" t="s">
        <v>625</v>
      </c>
      <c r="C149" s="292" t="s">
        <v>6666</v>
      </c>
      <c r="D149" s="316">
        <v>6587</v>
      </c>
      <c r="F149" s="304" t="s">
        <v>6537</v>
      </c>
      <c r="H149" s="292"/>
      <c r="J149" s="292"/>
    </row>
    <row r="150" spans="1:10">
      <c r="A150" s="304" t="s">
        <v>834</v>
      </c>
      <c r="B150" s="304" t="s">
        <v>5476</v>
      </c>
      <c r="C150" s="292" t="s">
        <v>6667</v>
      </c>
      <c r="D150" s="316">
        <v>7805</v>
      </c>
      <c r="F150" s="304" t="s">
        <v>6533</v>
      </c>
      <c r="H150" s="292"/>
      <c r="J150" s="292"/>
    </row>
    <row r="151" spans="1:10">
      <c r="A151" s="304" t="s">
        <v>835</v>
      </c>
      <c r="B151" s="304" t="s">
        <v>5043</v>
      </c>
      <c r="C151" s="292" t="s">
        <v>6668</v>
      </c>
      <c r="D151" s="316">
        <v>6844</v>
      </c>
      <c r="F151" s="304" t="s">
        <v>6537</v>
      </c>
      <c r="H151" s="292"/>
      <c r="J151" s="292"/>
    </row>
    <row r="152" spans="1:10">
      <c r="A152" s="304" t="s">
        <v>836</v>
      </c>
      <c r="B152" s="304" t="s">
        <v>6669</v>
      </c>
      <c r="C152" s="292" t="s">
        <v>6670</v>
      </c>
      <c r="D152" s="316">
        <v>8201</v>
      </c>
      <c r="F152" s="304" t="s">
        <v>6537</v>
      </c>
      <c r="H152" s="292"/>
      <c r="J152" s="292"/>
    </row>
    <row r="153" spans="1:10">
      <c r="A153" s="304" t="s">
        <v>837</v>
      </c>
      <c r="B153" s="304" t="s">
        <v>919</v>
      </c>
      <c r="C153" s="292" t="s">
        <v>6671</v>
      </c>
      <c r="D153" s="316">
        <v>8301</v>
      </c>
      <c r="F153" s="304" t="s">
        <v>6537</v>
      </c>
      <c r="H153" s="292"/>
      <c r="J153" s="292"/>
    </row>
    <row r="154" spans="1:10">
      <c r="A154" s="304" t="s">
        <v>838</v>
      </c>
      <c r="B154" s="304" t="s">
        <v>6672</v>
      </c>
      <c r="C154" s="292" t="s">
        <v>6673</v>
      </c>
      <c r="D154" s="316">
        <v>7425</v>
      </c>
      <c r="F154" s="304" t="s">
        <v>6533</v>
      </c>
      <c r="H154" s="292"/>
      <c r="J154" s="292"/>
    </row>
    <row r="155" spans="1:10">
      <c r="A155" s="304" t="s">
        <v>840</v>
      </c>
      <c r="B155" s="304" t="s">
        <v>6674</v>
      </c>
      <c r="C155" s="292" t="s">
        <v>6675</v>
      </c>
      <c r="D155" s="316">
        <v>7650</v>
      </c>
      <c r="F155" s="304" t="s">
        <v>6533</v>
      </c>
      <c r="H155" s="292"/>
      <c r="J155" s="292"/>
    </row>
    <row r="156" spans="1:10">
      <c r="A156" s="304" t="s">
        <v>841</v>
      </c>
      <c r="B156" s="304" t="s">
        <v>6676</v>
      </c>
      <c r="C156" s="292" t="s">
        <v>6677</v>
      </c>
      <c r="D156" s="316">
        <v>7098</v>
      </c>
      <c r="F156" s="304" t="s">
        <v>6537</v>
      </c>
      <c r="H156" s="292"/>
      <c r="J156" s="292"/>
    </row>
    <row r="157" spans="1:10">
      <c r="D157" s="320"/>
    </row>
    <row r="158" spans="1:10">
      <c r="A158" s="304" t="s">
        <v>6533</v>
      </c>
      <c r="D158" s="319">
        <f t="shared" ref="D158" si="20">SUM(D137:D139)+SUM(D143:D145)+D148+D150+D154+D155</f>
        <v>76427</v>
      </c>
    </row>
    <row r="159" spans="1:10">
      <c r="A159" s="304" t="s">
        <v>6537</v>
      </c>
      <c r="D159" s="319">
        <f t="shared" ref="D159" si="21">SUM(D140:D142)+D146+D147+D149+SUM(D151:D153)+D156</f>
        <v>74618</v>
      </c>
    </row>
    <row r="160" spans="1:10">
      <c r="A160" s="304"/>
      <c r="D160" s="319"/>
    </row>
    <row r="161" spans="1:10">
      <c r="A161" s="304" t="s">
        <v>6678</v>
      </c>
      <c r="D161" s="319"/>
    </row>
    <row r="162" spans="1:10">
      <c r="A162" s="304"/>
      <c r="B162" s="304"/>
      <c r="D162" s="329"/>
    </row>
    <row r="163" spans="1:10">
      <c r="A163" s="304"/>
      <c r="B163" s="304"/>
      <c r="D163" s="329"/>
    </row>
    <row r="164" spans="1:10">
      <c r="D164" s="10" t="s">
        <v>285</v>
      </c>
      <c r="E164" s="11"/>
      <c r="F164" s="38" t="s">
        <v>4116</v>
      </c>
    </row>
    <row r="165" spans="1:10">
      <c r="D165" s="318">
        <v>2016</v>
      </c>
      <c r="F165" s="12" t="s">
        <v>286</v>
      </c>
    </row>
    <row r="166" spans="1:10">
      <c r="A166" s="304" t="s">
        <v>6679</v>
      </c>
      <c r="D166" s="319">
        <f t="shared" ref="D166" si="22">SUM(D167:D184)</f>
        <v>115022</v>
      </c>
    </row>
    <row r="167" spans="1:10">
      <c r="A167" s="304" t="s">
        <v>812</v>
      </c>
      <c r="B167" s="304" t="s">
        <v>6680</v>
      </c>
      <c r="C167" s="292" t="s">
        <v>6681</v>
      </c>
      <c r="D167" s="316">
        <v>6735</v>
      </c>
      <c r="F167" s="304" t="s">
        <v>6535</v>
      </c>
      <c r="H167" s="292"/>
      <c r="J167" s="292"/>
    </row>
    <row r="168" spans="1:10">
      <c r="A168" s="304" t="s">
        <v>813</v>
      </c>
      <c r="B168" s="304" t="s">
        <v>3208</v>
      </c>
      <c r="C168" s="292" t="s">
        <v>6682</v>
      </c>
      <c r="D168" s="316">
        <v>5956</v>
      </c>
      <c r="F168" s="304" t="s">
        <v>6529</v>
      </c>
      <c r="H168" s="292"/>
      <c r="J168" s="292"/>
    </row>
    <row r="169" spans="1:10">
      <c r="A169" s="304" t="s">
        <v>814</v>
      </c>
      <c r="B169" s="304" t="s">
        <v>6683</v>
      </c>
      <c r="C169" s="292" t="s">
        <v>6684</v>
      </c>
      <c r="D169" s="316">
        <v>6429</v>
      </c>
      <c r="F169" s="304" t="s">
        <v>6535</v>
      </c>
      <c r="H169" s="292"/>
      <c r="J169" s="292"/>
    </row>
    <row r="170" spans="1:10">
      <c r="A170" s="304" t="s">
        <v>815</v>
      </c>
      <c r="B170" s="304" t="s">
        <v>6685</v>
      </c>
      <c r="C170" s="292" t="s">
        <v>6686</v>
      </c>
      <c r="D170" s="316">
        <v>7358</v>
      </c>
      <c r="F170" s="304" t="s">
        <v>6535</v>
      </c>
      <c r="H170" s="292"/>
      <c r="J170" s="292"/>
    </row>
    <row r="171" spans="1:10">
      <c r="A171" s="304" t="s">
        <v>816</v>
      </c>
      <c r="B171" s="304" t="s">
        <v>6687</v>
      </c>
      <c r="C171" s="292" t="s">
        <v>6688</v>
      </c>
      <c r="D171" s="316">
        <v>6954</v>
      </c>
      <c r="F171" s="304" t="s">
        <v>6535</v>
      </c>
      <c r="H171" s="292"/>
      <c r="J171" s="292"/>
    </row>
    <row r="172" spans="1:10" ht="15.75" customHeight="1">
      <c r="A172" s="304" t="s">
        <v>826</v>
      </c>
      <c r="B172" s="304" t="s">
        <v>6689</v>
      </c>
      <c r="C172" s="292" t="s">
        <v>6690</v>
      </c>
      <c r="D172" s="316">
        <v>5695</v>
      </c>
      <c r="F172" s="304" t="s">
        <v>6535</v>
      </c>
      <c r="H172" s="292"/>
      <c r="J172" s="292"/>
    </row>
    <row r="173" spans="1:10">
      <c r="A173" s="304" t="s">
        <v>827</v>
      </c>
      <c r="B173" s="304" t="s">
        <v>6691</v>
      </c>
      <c r="C173" s="292" t="s">
        <v>6692</v>
      </c>
      <c r="D173" s="316">
        <v>5835</v>
      </c>
      <c r="F173" s="304" t="s">
        <v>6529</v>
      </c>
      <c r="H173" s="292"/>
      <c r="J173" s="292"/>
    </row>
    <row r="174" spans="1:10">
      <c r="A174" s="304" t="s">
        <v>828</v>
      </c>
      <c r="B174" s="304" t="s">
        <v>6693</v>
      </c>
      <c r="C174" s="292" t="s">
        <v>6694</v>
      </c>
      <c r="D174" s="316">
        <v>6775</v>
      </c>
      <c r="F174" s="304" t="s">
        <v>6535</v>
      </c>
      <c r="H174" s="292"/>
      <c r="J174" s="292"/>
    </row>
    <row r="175" spans="1:10">
      <c r="A175" s="304" t="s">
        <v>829</v>
      </c>
      <c r="B175" s="304" t="s">
        <v>6695</v>
      </c>
      <c r="C175" s="292" t="s">
        <v>6696</v>
      </c>
      <c r="D175" s="316">
        <v>6930</v>
      </c>
      <c r="F175" s="304" t="s">
        <v>6529</v>
      </c>
      <c r="H175" s="292"/>
      <c r="J175" s="292"/>
    </row>
    <row r="176" spans="1:10">
      <c r="A176" s="304" t="s">
        <v>830</v>
      </c>
      <c r="B176" s="304" t="s">
        <v>6697</v>
      </c>
      <c r="C176" s="292" t="s">
        <v>6698</v>
      </c>
      <c r="D176" s="316">
        <v>6234</v>
      </c>
      <c r="F176" s="304" t="s">
        <v>6529</v>
      </c>
      <c r="H176" s="292"/>
      <c r="J176" s="292"/>
    </row>
    <row r="177" spans="1:10">
      <c r="A177" s="304" t="s">
        <v>831</v>
      </c>
      <c r="B177" s="304" t="s">
        <v>6699</v>
      </c>
      <c r="C177" s="292" t="s">
        <v>6700</v>
      </c>
      <c r="D177" s="316">
        <v>7114</v>
      </c>
      <c r="F177" s="304" t="s">
        <v>6535</v>
      </c>
      <c r="H177" s="292"/>
      <c r="J177" s="292"/>
    </row>
    <row r="178" spans="1:10">
      <c r="A178" s="304" t="s">
        <v>832</v>
      </c>
      <c r="B178" s="304" t="s">
        <v>6701</v>
      </c>
      <c r="C178" s="292" t="s">
        <v>6702</v>
      </c>
      <c r="D178" s="316">
        <v>6307</v>
      </c>
      <c r="F178" s="304" t="s">
        <v>6529</v>
      </c>
      <c r="H178" s="292"/>
      <c r="J178" s="292"/>
    </row>
    <row r="179" spans="1:10">
      <c r="A179" s="304" t="s">
        <v>833</v>
      </c>
      <c r="B179" s="304" t="s">
        <v>6703</v>
      </c>
      <c r="C179" s="292" t="s">
        <v>6704</v>
      </c>
      <c r="D179" s="316">
        <v>6293</v>
      </c>
      <c r="F179" s="304" t="s">
        <v>6529</v>
      </c>
      <c r="H179" s="292"/>
      <c r="J179" s="292"/>
    </row>
    <row r="180" spans="1:10">
      <c r="A180" s="304" t="s">
        <v>834</v>
      </c>
      <c r="B180" s="304" t="s">
        <v>6705</v>
      </c>
      <c r="C180" s="292" t="s">
        <v>6706</v>
      </c>
      <c r="D180" s="316">
        <v>6324</v>
      </c>
      <c r="F180" s="304" t="s">
        <v>6529</v>
      </c>
      <c r="H180" s="292"/>
      <c r="J180" s="292"/>
    </row>
    <row r="181" spans="1:10">
      <c r="A181" s="304" t="s">
        <v>835</v>
      </c>
      <c r="B181" s="304" t="s">
        <v>6707</v>
      </c>
      <c r="C181" s="292" t="s">
        <v>6708</v>
      </c>
      <c r="D181" s="316">
        <v>5568</v>
      </c>
      <c r="F181" s="304" t="s">
        <v>6535</v>
      </c>
      <c r="H181" s="292"/>
      <c r="J181" s="292"/>
    </row>
    <row r="182" spans="1:10">
      <c r="A182" s="304" t="s">
        <v>836</v>
      </c>
      <c r="B182" s="304" t="s">
        <v>6709</v>
      </c>
      <c r="C182" s="292" t="s">
        <v>6710</v>
      </c>
      <c r="D182" s="316">
        <v>6205</v>
      </c>
      <c r="F182" s="304" t="s">
        <v>6535</v>
      </c>
      <c r="H182" s="292"/>
      <c r="J182" s="292"/>
    </row>
    <row r="183" spans="1:10">
      <c r="A183" s="304" t="s">
        <v>837</v>
      </c>
      <c r="B183" s="304" t="s">
        <v>6711</v>
      </c>
      <c r="C183" s="292" t="s">
        <v>6712</v>
      </c>
      <c r="D183" s="316">
        <v>5781</v>
      </c>
      <c r="F183" s="304" t="s">
        <v>6535</v>
      </c>
      <c r="H183" s="292"/>
      <c r="J183" s="292"/>
    </row>
    <row r="184" spans="1:10">
      <c r="A184" s="304" t="s">
        <v>838</v>
      </c>
      <c r="B184" s="304" t="s">
        <v>6713</v>
      </c>
      <c r="C184" s="292" t="s">
        <v>6714</v>
      </c>
      <c r="D184" s="316">
        <v>6529</v>
      </c>
      <c r="F184" s="304" t="s">
        <v>6535</v>
      </c>
      <c r="H184" s="292"/>
      <c r="J184" s="292"/>
    </row>
    <row r="185" spans="1:10">
      <c r="D185" s="320"/>
    </row>
    <row r="186" spans="1:10">
      <c r="A186" s="304" t="s">
        <v>6586</v>
      </c>
      <c r="D186" s="319">
        <f>D168+D173+D175+D176+SUM(D178:D180)</f>
        <v>43879</v>
      </c>
    </row>
    <row r="187" spans="1:10">
      <c r="A187" s="304" t="s">
        <v>6535</v>
      </c>
      <c r="D187" s="319">
        <f>D167+SUM(D169:D172)+D174+D177+SUM(D181:D184)</f>
        <v>71143</v>
      </c>
    </row>
    <row r="188" spans="1:10">
      <c r="A188" s="304"/>
      <c r="D188" s="319"/>
    </row>
    <row r="189" spans="1:10">
      <c r="A189" s="304" t="s">
        <v>6715</v>
      </c>
      <c r="D189" s="319"/>
    </row>
    <row r="192" spans="1:10">
      <c r="D192" s="10" t="s">
        <v>285</v>
      </c>
      <c r="E192" s="11"/>
      <c r="F192" s="38" t="s">
        <v>4116</v>
      </c>
    </row>
    <row r="193" spans="1:10">
      <c r="D193" s="318">
        <v>2016</v>
      </c>
      <c r="F193" s="12" t="s">
        <v>286</v>
      </c>
    </row>
    <row r="194" spans="1:10">
      <c r="A194" s="304" t="s">
        <v>6716</v>
      </c>
      <c r="D194" s="319">
        <f t="shared" ref="D194" si="23">SUM(D195:D219)</f>
        <v>205546</v>
      </c>
    </row>
    <row r="195" spans="1:10">
      <c r="A195" s="304" t="s">
        <v>812</v>
      </c>
      <c r="B195" s="304" t="s">
        <v>6717</v>
      </c>
      <c r="C195" s="292" t="s">
        <v>6718</v>
      </c>
      <c r="D195" s="293">
        <v>8501</v>
      </c>
      <c r="F195" s="304" t="s">
        <v>6536</v>
      </c>
      <c r="H195" s="292"/>
      <c r="J195" s="292"/>
    </row>
    <row r="196" spans="1:10">
      <c r="A196" s="304" t="s">
        <v>813</v>
      </c>
      <c r="B196" s="304" t="s">
        <v>883</v>
      </c>
      <c r="C196" s="292" t="s">
        <v>6719</v>
      </c>
      <c r="D196" s="295">
        <v>8332</v>
      </c>
      <c r="F196" s="304" t="s">
        <v>6529</v>
      </c>
      <c r="H196" s="292"/>
      <c r="J196" s="292"/>
    </row>
    <row r="197" spans="1:10">
      <c r="A197" s="304" t="s">
        <v>814</v>
      </c>
      <c r="B197" s="304" t="s">
        <v>6720</v>
      </c>
      <c r="C197" s="292" t="s">
        <v>6721</v>
      </c>
      <c r="D197" s="293">
        <v>8767</v>
      </c>
      <c r="F197" s="296" t="s">
        <v>6204</v>
      </c>
      <c r="H197" s="292"/>
      <c r="J197" s="292"/>
    </row>
    <row r="198" spans="1:10">
      <c r="A198" s="304" t="s">
        <v>815</v>
      </c>
      <c r="B198" s="304" t="s">
        <v>6722</v>
      </c>
      <c r="C198" s="292" t="s">
        <v>6723</v>
      </c>
      <c r="D198" s="293">
        <v>7563</v>
      </c>
      <c r="F198" s="296" t="s">
        <v>6204</v>
      </c>
      <c r="H198" s="292"/>
      <c r="J198" s="292"/>
    </row>
    <row r="199" spans="1:10">
      <c r="A199" s="304" t="s">
        <v>816</v>
      </c>
      <c r="B199" s="304" t="s">
        <v>6724</v>
      </c>
      <c r="C199" s="292" t="s">
        <v>6725</v>
      </c>
      <c r="D199" s="293">
        <v>8984</v>
      </c>
      <c r="F199" s="304" t="s">
        <v>6536</v>
      </c>
      <c r="H199" s="292"/>
      <c r="J199" s="292"/>
    </row>
    <row r="200" spans="1:10">
      <c r="A200" s="304" t="s">
        <v>826</v>
      </c>
      <c r="B200" s="304" t="s">
        <v>6726</v>
      </c>
      <c r="C200" s="292" t="s">
        <v>6727</v>
      </c>
      <c r="D200" s="293">
        <v>7538</v>
      </c>
      <c r="F200" s="304" t="s">
        <v>6536</v>
      </c>
      <c r="H200" s="292"/>
      <c r="J200" s="292"/>
    </row>
    <row r="201" spans="1:10">
      <c r="A201" s="304" t="s">
        <v>827</v>
      </c>
      <c r="B201" s="304" t="s">
        <v>6728</v>
      </c>
      <c r="C201" s="292" t="s">
        <v>6729</v>
      </c>
      <c r="D201" s="293">
        <v>8632</v>
      </c>
      <c r="F201" s="296" t="s">
        <v>6200</v>
      </c>
      <c r="H201" s="292"/>
      <c r="J201" s="292"/>
    </row>
    <row r="202" spans="1:10">
      <c r="A202" s="304" t="s">
        <v>828</v>
      </c>
      <c r="B202" s="304" t="s">
        <v>6730</v>
      </c>
      <c r="C202" s="292" t="s">
        <v>6731</v>
      </c>
      <c r="D202" s="293">
        <v>9016</v>
      </c>
      <c r="F202" s="296" t="s">
        <v>6204</v>
      </c>
      <c r="H202" s="292"/>
      <c r="J202" s="292"/>
    </row>
    <row r="203" spans="1:10">
      <c r="A203" s="304" t="s">
        <v>829</v>
      </c>
      <c r="B203" s="304" t="s">
        <v>4639</v>
      </c>
      <c r="C203" s="292" t="s">
        <v>6732</v>
      </c>
      <c r="D203" s="293">
        <v>6920</v>
      </c>
      <c r="F203" s="304" t="s">
        <v>6536</v>
      </c>
      <c r="H203" s="292"/>
      <c r="J203" s="292"/>
    </row>
    <row r="204" spans="1:10">
      <c r="A204" s="304" t="s">
        <v>830</v>
      </c>
      <c r="B204" s="304" t="s">
        <v>6733</v>
      </c>
      <c r="C204" s="292" t="s">
        <v>6734</v>
      </c>
      <c r="D204" s="293">
        <v>7202</v>
      </c>
      <c r="F204" s="304" t="s">
        <v>6536</v>
      </c>
      <c r="H204" s="292"/>
      <c r="J204" s="292"/>
    </row>
    <row r="205" spans="1:10">
      <c r="A205" s="304" t="s">
        <v>831</v>
      </c>
      <c r="B205" s="304" t="s">
        <v>5833</v>
      </c>
      <c r="C205" s="292" t="s">
        <v>6735</v>
      </c>
      <c r="D205" s="295">
        <v>8107</v>
      </c>
      <c r="F205" s="304" t="s">
        <v>6529</v>
      </c>
      <c r="H205" s="292"/>
      <c r="J205" s="292"/>
    </row>
    <row r="206" spans="1:10">
      <c r="A206" s="304" t="s">
        <v>832</v>
      </c>
      <c r="B206" s="304" t="s">
        <v>6736</v>
      </c>
      <c r="C206" s="292" t="s">
        <v>6737</v>
      </c>
      <c r="D206" s="293">
        <v>7964</v>
      </c>
      <c r="F206" s="304" t="s">
        <v>6536</v>
      </c>
      <c r="H206" s="292"/>
      <c r="J206" s="292"/>
    </row>
    <row r="207" spans="1:10">
      <c r="A207" s="304" t="s">
        <v>833</v>
      </c>
      <c r="B207" s="304" t="s">
        <v>6738</v>
      </c>
      <c r="C207" s="292" t="s">
        <v>6739</v>
      </c>
      <c r="D207" s="295">
        <v>8084</v>
      </c>
      <c r="F207" s="304" t="s">
        <v>6538</v>
      </c>
      <c r="H207" s="292"/>
      <c r="J207" s="292"/>
    </row>
    <row r="208" spans="1:10">
      <c r="A208" s="304" t="s">
        <v>834</v>
      </c>
      <c r="B208" s="304" t="s">
        <v>6740</v>
      </c>
      <c r="C208" s="292" t="s">
        <v>6741</v>
      </c>
      <c r="D208" s="293">
        <v>7547</v>
      </c>
      <c r="F208" s="304" t="s">
        <v>6538</v>
      </c>
      <c r="H208" s="292"/>
      <c r="J208" s="292"/>
    </row>
    <row r="209" spans="1:10">
      <c r="A209" s="304" t="s">
        <v>835</v>
      </c>
      <c r="B209" s="304" t="s">
        <v>1074</v>
      </c>
      <c r="C209" s="292" t="s">
        <v>6742</v>
      </c>
      <c r="D209" s="295">
        <v>8157</v>
      </c>
      <c r="F209" s="304" t="s">
        <v>6536</v>
      </c>
      <c r="H209" s="292"/>
      <c r="J209" s="292"/>
    </row>
    <row r="210" spans="1:10">
      <c r="A210" s="304" t="s">
        <v>836</v>
      </c>
      <c r="B210" s="304" t="s">
        <v>1026</v>
      </c>
      <c r="C210" s="292" t="s">
        <v>6743</v>
      </c>
      <c r="D210" s="295">
        <v>8081</v>
      </c>
      <c r="F210" s="304" t="s">
        <v>6536</v>
      </c>
      <c r="H210" s="292"/>
      <c r="J210" s="292"/>
    </row>
    <row r="211" spans="1:10">
      <c r="A211" s="304" t="s">
        <v>837</v>
      </c>
      <c r="B211" s="304" t="s">
        <v>6744</v>
      </c>
      <c r="C211" s="292" t="s">
        <v>6745</v>
      </c>
      <c r="D211" s="293">
        <v>7976</v>
      </c>
      <c r="F211" s="304" t="s">
        <v>6538</v>
      </c>
      <c r="H211" s="292"/>
      <c r="J211" s="292"/>
    </row>
    <row r="212" spans="1:10">
      <c r="A212" s="304" t="s">
        <v>838</v>
      </c>
      <c r="B212" s="304" t="s">
        <v>6746</v>
      </c>
      <c r="C212" s="292" t="s">
        <v>6747</v>
      </c>
      <c r="D212" s="293">
        <v>9719</v>
      </c>
      <c r="F212" s="304" t="s">
        <v>6538</v>
      </c>
      <c r="H212" s="292"/>
      <c r="J212" s="292"/>
    </row>
    <row r="213" spans="1:10">
      <c r="A213" s="304" t="s">
        <v>840</v>
      </c>
      <c r="B213" s="304" t="s">
        <v>6748</v>
      </c>
      <c r="C213" s="292" t="s">
        <v>6749</v>
      </c>
      <c r="D213" s="293">
        <v>8109</v>
      </c>
      <c r="F213" s="304" t="s">
        <v>6538</v>
      </c>
      <c r="H213" s="292"/>
      <c r="J213" s="292"/>
    </row>
    <row r="214" spans="1:10">
      <c r="A214" s="304" t="s">
        <v>841</v>
      </c>
      <c r="B214" s="304" t="s">
        <v>72</v>
      </c>
      <c r="C214" s="292" t="s">
        <v>6750</v>
      </c>
      <c r="D214" s="293">
        <v>7885</v>
      </c>
      <c r="F214" s="304" t="s">
        <v>6536</v>
      </c>
      <c r="H214" s="292"/>
      <c r="J214" s="292"/>
    </row>
    <row r="215" spans="1:10">
      <c r="A215" s="304" t="s">
        <v>878</v>
      </c>
      <c r="B215" s="304" t="s">
        <v>6751</v>
      </c>
      <c r="C215" s="292" t="s">
        <v>6752</v>
      </c>
      <c r="D215" s="295">
        <v>8654</v>
      </c>
      <c r="F215" s="304" t="s">
        <v>6538</v>
      </c>
      <c r="H215" s="292"/>
      <c r="J215" s="292"/>
    </row>
    <row r="216" spans="1:10">
      <c r="A216" s="304" t="s">
        <v>879</v>
      </c>
      <c r="B216" s="304" t="s">
        <v>6753</v>
      </c>
      <c r="C216" s="292" t="s">
        <v>6754</v>
      </c>
      <c r="D216" s="295">
        <v>8801</v>
      </c>
      <c r="F216" s="304" t="s">
        <v>6538</v>
      </c>
      <c r="H216" s="292"/>
      <c r="J216" s="292"/>
    </row>
    <row r="217" spans="1:10">
      <c r="A217" s="304" t="s">
        <v>880</v>
      </c>
      <c r="B217" s="304" t="s">
        <v>6755</v>
      </c>
      <c r="C217" s="292" t="s">
        <v>6756</v>
      </c>
      <c r="D217" s="295">
        <v>8183</v>
      </c>
      <c r="F217" s="304" t="s">
        <v>6529</v>
      </c>
      <c r="H217" s="292"/>
      <c r="J217" s="292"/>
    </row>
    <row r="218" spans="1:10">
      <c r="A218" s="304" t="s">
        <v>721</v>
      </c>
      <c r="B218" s="304" t="s">
        <v>6757</v>
      </c>
      <c r="C218" s="292" t="s">
        <v>6758</v>
      </c>
      <c r="D218" s="295">
        <v>7846</v>
      </c>
      <c r="F218" s="304" t="s">
        <v>6538</v>
      </c>
      <c r="H218" s="292"/>
      <c r="J218" s="292"/>
    </row>
    <row r="219" spans="1:10">
      <c r="A219" s="304" t="s">
        <v>722</v>
      </c>
      <c r="B219" s="304" t="s">
        <v>6759</v>
      </c>
      <c r="C219" s="292" t="s">
        <v>6760</v>
      </c>
      <c r="D219" s="295">
        <v>8978</v>
      </c>
      <c r="F219" s="304" t="s">
        <v>6528</v>
      </c>
      <c r="H219" s="292"/>
      <c r="J219" s="292"/>
    </row>
    <row r="220" spans="1:10">
      <c r="D220" s="320"/>
    </row>
    <row r="221" spans="1:10">
      <c r="A221" s="296" t="s">
        <v>6376</v>
      </c>
      <c r="D221" s="320">
        <f>D201</f>
        <v>8632</v>
      </c>
    </row>
    <row r="222" spans="1:10">
      <c r="A222" s="296" t="s">
        <v>6377</v>
      </c>
      <c r="D222" s="319">
        <f>D197+D198+D202</f>
        <v>25346</v>
      </c>
    </row>
    <row r="223" spans="1:10">
      <c r="A223" s="304" t="s">
        <v>6585</v>
      </c>
      <c r="D223" s="319">
        <f>D219</f>
        <v>8978</v>
      </c>
    </row>
    <row r="224" spans="1:10">
      <c r="A224" s="304" t="s">
        <v>6586</v>
      </c>
      <c r="D224" s="319">
        <f>D196+D205+D217</f>
        <v>24622</v>
      </c>
    </row>
    <row r="225" spans="1:4">
      <c r="A225" s="304" t="s">
        <v>6536</v>
      </c>
      <c r="D225" s="319">
        <f t="shared" ref="D225" si="24">D195+D199+D200+D203+D204+D206+D209+D210+D214</f>
        <v>71232</v>
      </c>
    </row>
    <row r="226" spans="1:4">
      <c r="A226" s="304" t="s">
        <v>6587</v>
      </c>
      <c r="D226" s="319">
        <f>D207+D208+SUM(D211:D213)+D215+D216+D218</f>
        <v>66736</v>
      </c>
    </row>
    <row r="228" spans="1:4">
      <c r="A228" s="317" t="s">
        <v>6761</v>
      </c>
    </row>
  </sheetData>
  <printOptions gridLinesSet="0"/>
  <pageMargins left="0.78740157480314965" right="0" top="1.1023622047244095" bottom="0.51181102362204722" header="0.51181102362204722" footer="0.51181102362204722"/>
  <pageSetup paperSize="9" scale="71" orientation="portrait" horizontalDpi="300" verticalDpi="300" r:id="rId1"/>
  <headerFooter alignWithMargins="0">
    <oddFooter>&amp;C&amp;8&amp;P of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38"/>
  <sheetViews>
    <sheetView showGridLines="0" zoomScaleNormal="100" workbookViewId="0"/>
  </sheetViews>
  <sheetFormatPr defaultColWidth="12.59765625" defaultRowHeight="14.5"/>
  <cols>
    <col min="1" max="1" width="4.8984375" style="628" customWidth="1"/>
    <col min="2" max="2" width="40.69921875" style="628" customWidth="1"/>
    <col min="3" max="3" width="11.3984375" style="628" customWidth="1"/>
    <col min="4" max="4" width="10" style="628" customWidth="1"/>
    <col min="5" max="5" width="2" style="628" customWidth="1"/>
    <col min="6" max="6" width="34.59765625" style="628" customWidth="1"/>
    <col min="7" max="16384" width="12.59765625" style="628"/>
  </cols>
  <sheetData>
    <row r="1" spans="1:6">
      <c r="A1" s="610" t="s">
        <v>9176</v>
      </c>
      <c r="D1" s="629">
        <v>2016</v>
      </c>
    </row>
    <row r="3" spans="1:6">
      <c r="A3" s="610" t="s">
        <v>10451</v>
      </c>
      <c r="D3" s="630">
        <f t="shared" ref="D3" si="0">SUM(D17:D36)</f>
        <v>155532</v>
      </c>
    </row>
    <row r="5" spans="1:6">
      <c r="A5" s="602" t="s">
        <v>10254</v>
      </c>
      <c r="D5" s="630">
        <f>REDBRIDGE!D9</f>
        <v>15580</v>
      </c>
      <c r="F5" s="610" t="s">
        <v>9180</v>
      </c>
    </row>
    <row r="6" spans="1:6" ht="15" thickBot="1">
      <c r="D6" s="631">
        <f>SUM(D19:D21)+D24+D25+D29+D34</f>
        <v>55672</v>
      </c>
      <c r="F6" s="610" t="s">
        <v>10255</v>
      </c>
    </row>
    <row r="7" spans="1:6" ht="15" thickBot="1">
      <c r="D7" s="631">
        <f t="shared" ref="D7" si="1">SUM(D5:D6)</f>
        <v>71252</v>
      </c>
    </row>
    <row r="8" spans="1:6">
      <c r="D8" s="632"/>
    </row>
    <row r="9" spans="1:6">
      <c r="A9" s="610" t="s">
        <v>10257</v>
      </c>
      <c r="D9" s="630">
        <f>REDBRIDGE!D19</f>
        <v>50548</v>
      </c>
      <c r="F9" s="610" t="s">
        <v>9180</v>
      </c>
    </row>
    <row r="10" spans="1:6" ht="15" thickBot="1">
      <c r="D10" s="631">
        <f>D22+D32+D36</f>
        <v>23285</v>
      </c>
      <c r="F10" s="610" t="s">
        <v>10255</v>
      </c>
    </row>
    <row r="11" spans="1:6" ht="15" thickBot="1">
      <c r="D11" s="631">
        <f t="shared" ref="D11" si="2">D9+D10</f>
        <v>73833</v>
      </c>
    </row>
    <row r="12" spans="1:6">
      <c r="D12" s="632"/>
    </row>
    <row r="13" spans="1:6">
      <c r="A13" s="610" t="s">
        <v>10452</v>
      </c>
      <c r="D13" s="630">
        <f>D17+D18+D23+SUM(D26:D28)+D30+D31+D33+D35</f>
        <v>76575</v>
      </c>
      <c r="F13" s="610" t="s">
        <v>10255</v>
      </c>
    </row>
    <row r="14" spans="1:6">
      <c r="A14" s="610"/>
      <c r="D14" s="630"/>
      <c r="F14" s="610"/>
    </row>
    <row r="15" spans="1:6">
      <c r="A15" s="610" t="s">
        <v>1041</v>
      </c>
      <c r="D15" s="630">
        <f>D6+D10+D13</f>
        <v>155532</v>
      </c>
    </row>
    <row r="16" spans="1:6">
      <c r="D16" s="632"/>
    </row>
    <row r="17" spans="1:11">
      <c r="A17" s="610" t="s">
        <v>812</v>
      </c>
      <c r="B17" s="610" t="s">
        <v>10453</v>
      </c>
      <c r="C17" s="292" t="s">
        <v>10454</v>
      </c>
      <c r="D17" s="293">
        <v>6921</v>
      </c>
      <c r="F17" s="610" t="s">
        <v>10455</v>
      </c>
      <c r="I17" s="292"/>
      <c r="K17" s="292"/>
    </row>
    <row r="18" spans="1:11">
      <c r="A18" s="610" t="s">
        <v>813</v>
      </c>
      <c r="B18" s="610" t="s">
        <v>10456</v>
      </c>
      <c r="C18" s="292" t="s">
        <v>10457</v>
      </c>
      <c r="D18" s="293">
        <v>6515</v>
      </c>
      <c r="F18" s="610" t="s">
        <v>10455</v>
      </c>
      <c r="I18" s="292"/>
      <c r="K18" s="292"/>
    </row>
    <row r="19" spans="1:11">
      <c r="A19" s="610" t="s">
        <v>814</v>
      </c>
      <c r="B19" s="610" t="s">
        <v>10458</v>
      </c>
      <c r="C19" s="292" t="s">
        <v>10459</v>
      </c>
      <c r="D19" s="293">
        <v>8001</v>
      </c>
      <c r="F19" s="602" t="s">
        <v>10254</v>
      </c>
      <c r="I19" s="292"/>
      <c r="K19" s="292"/>
    </row>
    <row r="20" spans="1:11">
      <c r="A20" s="610" t="s">
        <v>815</v>
      </c>
      <c r="B20" s="610" t="s">
        <v>10460</v>
      </c>
      <c r="C20" s="292" t="s">
        <v>10461</v>
      </c>
      <c r="D20" s="293">
        <v>7777</v>
      </c>
      <c r="F20" s="602" t="s">
        <v>10254</v>
      </c>
      <c r="I20" s="292"/>
      <c r="K20" s="292"/>
    </row>
    <row r="21" spans="1:11">
      <c r="A21" s="610" t="s">
        <v>816</v>
      </c>
      <c r="B21" s="610" t="s">
        <v>10462</v>
      </c>
      <c r="C21" s="292" t="s">
        <v>10463</v>
      </c>
      <c r="D21" s="293">
        <v>8015</v>
      </c>
      <c r="F21" s="602" t="s">
        <v>10254</v>
      </c>
      <c r="I21" s="292"/>
      <c r="K21" s="292"/>
    </row>
    <row r="22" spans="1:11">
      <c r="A22" s="610" t="s">
        <v>826</v>
      </c>
      <c r="B22" s="610" t="s">
        <v>496</v>
      </c>
      <c r="C22" s="292" t="s">
        <v>10464</v>
      </c>
      <c r="D22" s="293">
        <v>7321</v>
      </c>
      <c r="F22" s="610" t="s">
        <v>10257</v>
      </c>
      <c r="I22" s="292"/>
      <c r="K22" s="292"/>
    </row>
    <row r="23" spans="1:11">
      <c r="A23" s="610" t="s">
        <v>827</v>
      </c>
      <c r="B23" s="610" t="s">
        <v>10465</v>
      </c>
      <c r="C23" s="292" t="s">
        <v>10466</v>
      </c>
      <c r="D23" s="293">
        <v>7387</v>
      </c>
      <c r="F23" s="610" t="s">
        <v>10455</v>
      </c>
      <c r="I23" s="292"/>
      <c r="K23" s="292"/>
    </row>
    <row r="24" spans="1:11">
      <c r="A24" s="610" t="s">
        <v>828</v>
      </c>
      <c r="B24" s="610" t="s">
        <v>10467</v>
      </c>
      <c r="C24" s="292" t="s">
        <v>10468</v>
      </c>
      <c r="D24" s="293">
        <v>8023</v>
      </c>
      <c r="F24" s="602" t="s">
        <v>10254</v>
      </c>
      <c r="I24" s="292"/>
      <c r="K24" s="292"/>
    </row>
    <row r="25" spans="1:11">
      <c r="A25" s="610" t="s">
        <v>829</v>
      </c>
      <c r="B25" s="610" t="s">
        <v>10469</v>
      </c>
      <c r="C25" s="292" t="s">
        <v>10470</v>
      </c>
      <c r="D25" s="293">
        <v>8063</v>
      </c>
      <c r="F25" s="602" t="s">
        <v>10254</v>
      </c>
      <c r="I25" s="292"/>
      <c r="K25" s="292"/>
    </row>
    <row r="26" spans="1:11">
      <c r="A26" s="610" t="s">
        <v>830</v>
      </c>
      <c r="B26" s="610" t="s">
        <v>10471</v>
      </c>
      <c r="C26" s="292" t="s">
        <v>10472</v>
      </c>
      <c r="D26" s="293">
        <v>7737</v>
      </c>
      <c r="F26" s="610" t="s">
        <v>10455</v>
      </c>
      <c r="I26" s="292"/>
      <c r="K26" s="292"/>
    </row>
    <row r="27" spans="1:11">
      <c r="A27" s="610" t="s">
        <v>831</v>
      </c>
      <c r="B27" s="610" t="s">
        <v>10473</v>
      </c>
      <c r="C27" s="292" t="s">
        <v>10474</v>
      </c>
      <c r="D27" s="293">
        <v>8197</v>
      </c>
      <c r="F27" s="610" t="s">
        <v>10455</v>
      </c>
      <c r="I27" s="292"/>
      <c r="K27" s="292"/>
    </row>
    <row r="28" spans="1:11">
      <c r="A28" s="610" t="s">
        <v>832</v>
      </c>
      <c r="B28" s="610" t="s">
        <v>10475</v>
      </c>
      <c r="C28" s="292" t="s">
        <v>10476</v>
      </c>
      <c r="D28" s="295">
        <v>7960</v>
      </c>
      <c r="F28" s="610" t="s">
        <v>10455</v>
      </c>
      <c r="I28" s="292"/>
      <c r="K28" s="292"/>
    </row>
    <row r="29" spans="1:11">
      <c r="A29" s="610" t="s">
        <v>833</v>
      </c>
      <c r="B29" s="610" t="s">
        <v>10477</v>
      </c>
      <c r="C29" s="292" t="s">
        <v>10478</v>
      </c>
      <c r="D29" s="293">
        <v>7919</v>
      </c>
      <c r="F29" s="602" t="s">
        <v>10254</v>
      </c>
      <c r="I29" s="292"/>
      <c r="K29" s="292"/>
    </row>
    <row r="30" spans="1:11">
      <c r="A30" s="610" t="s">
        <v>834</v>
      </c>
      <c r="B30" s="610" t="s">
        <v>9718</v>
      </c>
      <c r="C30" s="292" t="s">
        <v>10479</v>
      </c>
      <c r="D30" s="295">
        <v>8459</v>
      </c>
      <c r="F30" s="610" t="s">
        <v>10455</v>
      </c>
      <c r="I30" s="292"/>
      <c r="K30" s="292"/>
    </row>
    <row r="31" spans="1:11">
      <c r="A31" s="610" t="s">
        <v>835</v>
      </c>
      <c r="B31" s="610" t="s">
        <v>10480</v>
      </c>
      <c r="C31" s="292" t="s">
        <v>10481</v>
      </c>
      <c r="D31" s="293">
        <v>8067</v>
      </c>
      <c r="F31" s="610" t="s">
        <v>10455</v>
      </c>
      <c r="I31" s="292"/>
      <c r="K31" s="292"/>
    </row>
    <row r="32" spans="1:11">
      <c r="A32" s="610" t="s">
        <v>836</v>
      </c>
      <c r="B32" s="610" t="s">
        <v>10482</v>
      </c>
      <c r="C32" s="292" t="s">
        <v>10483</v>
      </c>
      <c r="D32" s="293">
        <v>7691</v>
      </c>
      <c r="F32" s="610" t="s">
        <v>10257</v>
      </c>
      <c r="I32" s="292"/>
      <c r="K32" s="292"/>
    </row>
    <row r="33" spans="1:11">
      <c r="A33" s="610" t="s">
        <v>837</v>
      </c>
      <c r="B33" s="610" t="s">
        <v>10484</v>
      </c>
      <c r="C33" s="292" t="s">
        <v>10485</v>
      </c>
      <c r="D33" s="295">
        <v>7735</v>
      </c>
      <c r="F33" s="610" t="s">
        <v>10455</v>
      </c>
      <c r="I33" s="292"/>
      <c r="K33" s="292"/>
    </row>
    <row r="34" spans="1:11">
      <c r="A34" s="610" t="s">
        <v>838</v>
      </c>
      <c r="B34" s="610" t="s">
        <v>919</v>
      </c>
      <c r="C34" s="292" t="s">
        <v>10486</v>
      </c>
      <c r="D34" s="293">
        <v>7874</v>
      </c>
      <c r="F34" s="602" t="s">
        <v>10254</v>
      </c>
      <c r="I34" s="292"/>
      <c r="K34" s="292"/>
    </row>
    <row r="35" spans="1:11">
      <c r="A35" s="610" t="s">
        <v>840</v>
      </c>
      <c r="B35" s="610" t="s">
        <v>10487</v>
      </c>
      <c r="C35" s="292" t="s">
        <v>10488</v>
      </c>
      <c r="D35" s="295">
        <v>7597</v>
      </c>
      <c r="F35" s="610" t="s">
        <v>10455</v>
      </c>
      <c r="I35" s="292"/>
      <c r="K35" s="292"/>
    </row>
    <row r="36" spans="1:11">
      <c r="A36" s="610" t="s">
        <v>841</v>
      </c>
      <c r="B36" s="610" t="s">
        <v>10489</v>
      </c>
      <c r="C36" s="292" t="s">
        <v>10490</v>
      </c>
      <c r="D36" s="295">
        <v>8273</v>
      </c>
      <c r="F36" s="610" t="s">
        <v>10257</v>
      </c>
      <c r="I36" s="292"/>
      <c r="K36" s="292"/>
    </row>
    <row r="38" spans="1:11">
      <c r="A38" s="628" t="s">
        <v>10491</v>
      </c>
    </row>
  </sheetData>
  <printOptions gridLinesSet="0"/>
  <pageMargins left="0.78740157480314965" right="0" top="0.51181102362204722" bottom="0.51181102362204722" header="0.51181102362204722" footer="0.51181102362204722"/>
  <pageSetup paperSize="9" scale="73" orientation="portrait" horizontalDpi="300" verticalDpi="300" r:id="rId1"/>
  <headerFooter alignWithMargins="0">
    <oddFooter>&amp;C&amp;"Times New Roman,Regular"&amp;8&amp;P of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0"/>
  <sheetViews>
    <sheetView showGridLines="0" zoomScaleNormal="100" workbookViewId="0"/>
  </sheetViews>
  <sheetFormatPr defaultColWidth="12.59765625" defaultRowHeight="14.5"/>
  <cols>
    <col min="1" max="1" width="4.8984375" style="633" customWidth="1"/>
    <col min="2" max="2" width="40.69921875" style="633" customWidth="1"/>
    <col min="3" max="3" width="11.3984375" style="633" customWidth="1"/>
    <col min="4" max="4" width="10" style="633" customWidth="1"/>
    <col min="5" max="5" width="2.296875" style="633" customWidth="1"/>
    <col min="6" max="6" width="25.59765625" style="633" customWidth="1"/>
    <col min="7" max="16384" width="12.59765625" style="633"/>
  </cols>
  <sheetData>
    <row r="1" spans="1:6">
      <c r="A1" s="592" t="s">
        <v>9176</v>
      </c>
      <c r="D1" s="634">
        <v>2016</v>
      </c>
    </row>
    <row r="3" spans="1:6">
      <c r="A3" s="592" t="s">
        <v>10492</v>
      </c>
      <c r="D3" s="635">
        <f t="shared" ref="D3" si="0">SUM(D19:D38)</f>
        <v>201174</v>
      </c>
    </row>
    <row r="5" spans="1:6">
      <c r="A5" s="592" t="s">
        <v>10076</v>
      </c>
      <c r="D5" s="636">
        <f>LAMBETH!D5</f>
        <v>8078</v>
      </c>
      <c r="F5" s="633" t="s">
        <v>9502</v>
      </c>
    </row>
    <row r="6" spans="1:6" ht="15" thickBot="1">
      <c r="D6" s="637">
        <f t="shared" ref="D6" si="1">D19+D23+D26+D28+D29+D31+D32</f>
        <v>69924</v>
      </c>
      <c r="F6" s="592" t="s">
        <v>10077</v>
      </c>
    </row>
    <row r="7" spans="1:6" ht="15" thickBot="1">
      <c r="A7" s="592"/>
      <c r="D7" s="638">
        <f>D5+D6</f>
        <v>78002</v>
      </c>
      <c r="F7" s="592"/>
    </row>
    <row r="8" spans="1:6">
      <c r="A8" s="592"/>
      <c r="D8" s="635"/>
      <c r="F8" s="592"/>
    </row>
    <row r="9" spans="1:6">
      <c r="A9" s="592" t="s">
        <v>10167</v>
      </c>
      <c r="D9" s="636">
        <f>MERTON!D16</f>
        <v>5860</v>
      </c>
      <c r="F9" s="592" t="s">
        <v>9503</v>
      </c>
    </row>
    <row r="10" spans="1:6" ht="15" thickBot="1">
      <c r="D10" s="635">
        <f>D20+D21+D24+D25+D27+D35+D36</f>
        <v>71428</v>
      </c>
      <c r="F10" s="592" t="s">
        <v>10077</v>
      </c>
    </row>
    <row r="11" spans="1:6" ht="15" thickBot="1">
      <c r="A11" s="592"/>
      <c r="D11" s="638">
        <f>D9+D10</f>
        <v>77288</v>
      </c>
      <c r="F11" s="592"/>
    </row>
    <row r="12" spans="1:6">
      <c r="A12" s="592"/>
      <c r="D12" s="635"/>
      <c r="F12" s="592"/>
    </row>
    <row r="13" spans="1:6">
      <c r="A13" s="592" t="s">
        <v>10168</v>
      </c>
      <c r="D13" s="635">
        <f>MERTON!D20</f>
        <v>12667</v>
      </c>
      <c r="F13" s="592" t="s">
        <v>9503</v>
      </c>
    </row>
    <row r="14" spans="1:6" ht="15" thickBot="1">
      <c r="D14" s="637">
        <f>D22+D30+D33+D34+D37+D38</f>
        <v>59822</v>
      </c>
      <c r="F14" s="592" t="s">
        <v>10077</v>
      </c>
    </row>
    <row r="15" spans="1:6" ht="15" thickBot="1">
      <c r="A15" s="592"/>
      <c r="D15" s="638">
        <f>D13+D14</f>
        <v>72489</v>
      </c>
      <c r="F15" s="592"/>
    </row>
    <row r="16" spans="1:6">
      <c r="D16" s="636"/>
    </row>
    <row r="17" spans="1:10">
      <c r="A17" s="592" t="s">
        <v>1041</v>
      </c>
      <c r="D17" s="635">
        <f>D6+D10+D14</f>
        <v>201174</v>
      </c>
    </row>
    <row r="18" spans="1:10">
      <c r="D18" s="636"/>
    </row>
    <row r="19" spans="1:10">
      <c r="A19" s="592" t="s">
        <v>812</v>
      </c>
      <c r="B19" s="592" t="s">
        <v>10493</v>
      </c>
      <c r="C19" s="292" t="s">
        <v>10494</v>
      </c>
      <c r="D19" s="293">
        <v>10443</v>
      </c>
      <c r="F19" s="592" t="s">
        <v>10076</v>
      </c>
      <c r="H19" s="292"/>
      <c r="J19" s="292"/>
    </row>
    <row r="20" spans="1:10">
      <c r="A20" s="592" t="s">
        <v>813</v>
      </c>
      <c r="B20" s="592" t="s">
        <v>10495</v>
      </c>
      <c r="C20" s="292" t="s">
        <v>10496</v>
      </c>
      <c r="D20" s="293">
        <v>10234</v>
      </c>
      <c r="F20" s="592" t="s">
        <v>10167</v>
      </c>
      <c r="H20" s="292"/>
      <c r="J20" s="292"/>
    </row>
    <row r="21" spans="1:10">
      <c r="A21" s="592" t="s">
        <v>814</v>
      </c>
      <c r="B21" s="592" t="s">
        <v>10497</v>
      </c>
      <c r="C21" s="292" t="s">
        <v>10498</v>
      </c>
      <c r="D21" s="293">
        <v>10820</v>
      </c>
      <c r="F21" s="592" t="s">
        <v>10167</v>
      </c>
      <c r="H21" s="292"/>
      <c r="J21" s="292"/>
    </row>
    <row r="22" spans="1:10">
      <c r="A22" s="592" t="s">
        <v>815</v>
      </c>
      <c r="B22" s="592" t="s">
        <v>10499</v>
      </c>
      <c r="C22" s="292" t="s">
        <v>10500</v>
      </c>
      <c r="D22" s="293">
        <v>10060</v>
      </c>
      <c r="F22" s="592" t="s">
        <v>10168</v>
      </c>
      <c r="H22" s="292"/>
      <c r="J22" s="292"/>
    </row>
    <row r="23" spans="1:10">
      <c r="A23" s="592" t="s">
        <v>816</v>
      </c>
      <c r="B23" s="592" t="s">
        <v>6158</v>
      </c>
      <c r="C23" s="292" t="s">
        <v>10501</v>
      </c>
      <c r="D23" s="293">
        <v>9986</v>
      </c>
      <c r="F23" s="592" t="s">
        <v>10076</v>
      </c>
      <c r="H23" s="292"/>
      <c r="J23" s="292"/>
    </row>
    <row r="24" spans="1:10">
      <c r="A24" s="592" t="s">
        <v>826</v>
      </c>
      <c r="B24" s="592" t="s">
        <v>10502</v>
      </c>
      <c r="C24" s="292" t="s">
        <v>10503</v>
      </c>
      <c r="D24" s="295">
        <v>9791</v>
      </c>
      <c r="F24" s="592" t="s">
        <v>10167</v>
      </c>
      <c r="H24" s="292"/>
      <c r="J24" s="292"/>
    </row>
    <row r="25" spans="1:10">
      <c r="A25" s="592" t="s">
        <v>827</v>
      </c>
      <c r="B25" s="592" t="s">
        <v>10180</v>
      </c>
      <c r="C25" s="292" t="s">
        <v>10504</v>
      </c>
      <c r="D25" s="295">
        <v>9892</v>
      </c>
      <c r="F25" s="592" t="s">
        <v>10167</v>
      </c>
      <c r="H25" s="292"/>
      <c r="J25" s="292"/>
    </row>
    <row r="26" spans="1:10">
      <c r="A26" s="592" t="s">
        <v>828</v>
      </c>
      <c r="B26" s="592" t="s">
        <v>10505</v>
      </c>
      <c r="C26" s="292" t="s">
        <v>10506</v>
      </c>
      <c r="D26" s="293">
        <v>9569</v>
      </c>
      <c r="F26" s="592" t="s">
        <v>10076</v>
      </c>
      <c r="H26" s="292"/>
      <c r="J26" s="292"/>
    </row>
    <row r="27" spans="1:10">
      <c r="A27" s="592" t="s">
        <v>829</v>
      </c>
      <c r="B27" s="592" t="s">
        <v>10507</v>
      </c>
      <c r="C27" s="292" t="s">
        <v>10508</v>
      </c>
      <c r="D27" s="295">
        <v>10555</v>
      </c>
      <c r="F27" s="592" t="s">
        <v>10167</v>
      </c>
      <c r="H27" s="292"/>
      <c r="J27" s="292"/>
    </row>
    <row r="28" spans="1:10">
      <c r="A28" s="592" t="s">
        <v>830</v>
      </c>
      <c r="B28" s="592" t="s">
        <v>10509</v>
      </c>
      <c r="C28" s="292" t="s">
        <v>10510</v>
      </c>
      <c r="D28" s="293">
        <v>9292</v>
      </c>
      <c r="F28" s="592" t="s">
        <v>10076</v>
      </c>
      <c r="H28" s="292"/>
      <c r="J28" s="292"/>
    </row>
    <row r="29" spans="1:10">
      <c r="A29" s="592" t="s">
        <v>831</v>
      </c>
      <c r="B29" s="592" t="s">
        <v>10511</v>
      </c>
      <c r="C29" s="292" t="s">
        <v>10512</v>
      </c>
      <c r="D29" s="293">
        <v>9948</v>
      </c>
      <c r="F29" s="592" t="s">
        <v>10076</v>
      </c>
      <c r="H29" s="292"/>
      <c r="J29" s="292"/>
    </row>
    <row r="30" spans="1:10">
      <c r="A30" s="592" t="s">
        <v>832</v>
      </c>
      <c r="B30" s="592" t="s">
        <v>10513</v>
      </c>
      <c r="C30" s="292" t="s">
        <v>10514</v>
      </c>
      <c r="D30" s="293">
        <v>8269</v>
      </c>
      <c r="F30" s="592" t="s">
        <v>10168</v>
      </c>
      <c r="H30" s="292"/>
      <c r="J30" s="292"/>
    </row>
    <row r="31" spans="1:10">
      <c r="A31" s="592" t="s">
        <v>833</v>
      </c>
      <c r="B31" s="592" t="s">
        <v>10515</v>
      </c>
      <c r="C31" s="292" t="s">
        <v>10516</v>
      </c>
      <c r="D31" s="293">
        <v>10765</v>
      </c>
      <c r="F31" s="592" t="s">
        <v>10076</v>
      </c>
      <c r="H31" s="292"/>
      <c r="J31" s="292"/>
    </row>
    <row r="32" spans="1:10">
      <c r="A32" s="592" t="s">
        <v>834</v>
      </c>
      <c r="B32" s="592" t="s">
        <v>10517</v>
      </c>
      <c r="C32" s="292" t="s">
        <v>10518</v>
      </c>
      <c r="D32" s="293">
        <v>9921</v>
      </c>
      <c r="F32" s="592" t="s">
        <v>10076</v>
      </c>
      <c r="H32" s="292"/>
      <c r="J32" s="292"/>
    </row>
    <row r="33" spans="1:10">
      <c r="A33" s="592" t="s">
        <v>835</v>
      </c>
      <c r="B33" s="592" t="s">
        <v>10519</v>
      </c>
      <c r="C33" s="292" t="s">
        <v>10520</v>
      </c>
      <c r="D33" s="293">
        <v>11168</v>
      </c>
      <c r="F33" s="592" t="s">
        <v>10168</v>
      </c>
      <c r="H33" s="292"/>
      <c r="J33" s="292"/>
    </row>
    <row r="34" spans="1:10">
      <c r="A34" s="592" t="s">
        <v>836</v>
      </c>
      <c r="B34" s="592" t="s">
        <v>10521</v>
      </c>
      <c r="C34" s="292" t="s">
        <v>10522</v>
      </c>
      <c r="D34" s="293">
        <v>10761</v>
      </c>
      <c r="F34" s="592" t="s">
        <v>10168</v>
      </c>
      <c r="H34" s="292"/>
      <c r="J34" s="292"/>
    </row>
    <row r="35" spans="1:10">
      <c r="A35" s="592" t="s">
        <v>837</v>
      </c>
      <c r="B35" s="592" t="s">
        <v>10523</v>
      </c>
      <c r="C35" s="292" t="s">
        <v>10524</v>
      </c>
      <c r="D35" s="295">
        <v>10498</v>
      </c>
      <c r="F35" s="592" t="s">
        <v>10167</v>
      </c>
      <c r="H35" s="292"/>
      <c r="J35" s="292"/>
    </row>
    <row r="36" spans="1:10">
      <c r="A36" s="592" t="s">
        <v>838</v>
      </c>
      <c r="B36" s="592" t="s">
        <v>10525</v>
      </c>
      <c r="C36" s="292" t="s">
        <v>10526</v>
      </c>
      <c r="D36" s="295">
        <v>9638</v>
      </c>
      <c r="F36" s="592" t="s">
        <v>10167</v>
      </c>
      <c r="H36" s="292"/>
      <c r="J36" s="292"/>
    </row>
    <row r="37" spans="1:10">
      <c r="A37" s="592" t="s">
        <v>840</v>
      </c>
      <c r="B37" s="592" t="s">
        <v>10527</v>
      </c>
      <c r="C37" s="292" t="s">
        <v>10528</v>
      </c>
      <c r="D37" s="293">
        <v>9704</v>
      </c>
      <c r="F37" s="592" t="s">
        <v>10168</v>
      </c>
      <c r="H37" s="292"/>
      <c r="J37" s="292"/>
    </row>
    <row r="38" spans="1:10">
      <c r="A38" s="592" t="s">
        <v>841</v>
      </c>
      <c r="B38" s="592" t="s">
        <v>10529</v>
      </c>
      <c r="C38" s="292" t="s">
        <v>10530</v>
      </c>
      <c r="D38" s="293">
        <v>9860</v>
      </c>
      <c r="F38" s="592" t="s">
        <v>10168</v>
      </c>
      <c r="H38" s="292"/>
      <c r="J38" s="292"/>
    </row>
    <row r="40" spans="1:10">
      <c r="A40" s="633" t="s">
        <v>10531</v>
      </c>
    </row>
  </sheetData>
  <printOptions gridLinesSet="0"/>
  <pageMargins left="0.78740157480314965" right="0" top="0.51181102362204722" bottom="0.51181102362204722" header="0.51181102362204722" footer="0.51181102362204722"/>
  <pageSetup paperSize="9" scale="73" orientation="portrait" horizontalDpi="300" verticalDpi="300" r:id="rId1"/>
  <headerFooter alignWithMargins="0">
    <oddFooter>&amp;C&amp;"Times New Roman,Regular"&amp;8&amp;P of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D201"/>
  <sheetViews>
    <sheetView showGridLines="0" zoomScaleNormal="100" workbookViewId="0"/>
  </sheetViews>
  <sheetFormatPr defaultColWidth="12.59765625" defaultRowHeight="14.5"/>
  <cols>
    <col min="1" max="1" width="4.8984375" style="180" customWidth="1"/>
    <col min="2" max="2" width="40.8984375" style="180" customWidth="1"/>
    <col min="3" max="3" width="11.59765625" style="180" customWidth="1"/>
    <col min="4" max="4" width="10.09765625" style="180" customWidth="1"/>
    <col min="5" max="5" width="2.296875" style="180" customWidth="1"/>
    <col min="6" max="6" width="37.296875" style="180" customWidth="1"/>
    <col min="7" max="16384" width="12.59765625" style="180"/>
  </cols>
  <sheetData>
    <row r="1" spans="1:6">
      <c r="A1" s="179" t="s">
        <v>1075</v>
      </c>
      <c r="D1" s="181">
        <v>2016</v>
      </c>
    </row>
    <row r="3" spans="1:6">
      <c r="A3" s="179" t="s">
        <v>2373</v>
      </c>
      <c r="D3" s="182">
        <f t="shared" ref="D3" si="0">SUM(D5:D9)</f>
        <v>401316</v>
      </c>
    </row>
    <row r="5" spans="1:6">
      <c r="A5" s="179" t="s">
        <v>3146</v>
      </c>
      <c r="C5" s="179"/>
      <c r="D5" s="182">
        <f t="shared" ref="D5" si="1">D46</f>
        <v>47339</v>
      </c>
      <c r="F5" s="183"/>
    </row>
    <row r="6" spans="1:6">
      <c r="A6" s="179" t="s">
        <v>3147</v>
      </c>
      <c r="C6" s="179"/>
      <c r="D6" s="182">
        <f t="shared" ref="D6" si="2">D72</f>
        <v>90571</v>
      </c>
      <c r="F6" s="183"/>
    </row>
    <row r="7" spans="1:6">
      <c r="A7" s="179" t="s">
        <v>3148</v>
      </c>
      <c r="C7" s="179"/>
      <c r="D7" s="182">
        <f t="shared" ref="D7" si="3">D99</f>
        <v>71187</v>
      </c>
      <c r="F7" s="183"/>
    </row>
    <row r="8" spans="1:6">
      <c r="A8" s="179" t="s">
        <v>3149</v>
      </c>
      <c r="C8" s="179"/>
      <c r="D8" s="182">
        <f t="shared" ref="D8" si="4">D126</f>
        <v>94292</v>
      </c>
      <c r="F8" s="183"/>
    </row>
    <row r="9" spans="1:6">
      <c r="A9" s="179" t="s">
        <v>3150</v>
      </c>
      <c r="C9" s="179"/>
      <c r="D9" s="182">
        <f t="shared" ref="D9" si="5">D174</f>
        <v>97927</v>
      </c>
      <c r="F9" s="183"/>
    </row>
    <row r="10" spans="1:6">
      <c r="B10" s="179"/>
      <c r="C10" s="179"/>
      <c r="D10" s="182"/>
      <c r="F10" s="183"/>
    </row>
    <row r="11" spans="1:6">
      <c r="A11" s="147" t="s">
        <v>3151</v>
      </c>
      <c r="B11" s="179"/>
      <c r="C11" s="179"/>
      <c r="D11" s="182">
        <f>D164</f>
        <v>18700</v>
      </c>
      <c r="F11" s="179" t="s">
        <v>3152</v>
      </c>
    </row>
    <row r="12" spans="1:6" ht="15" thickBot="1">
      <c r="B12" s="179"/>
      <c r="C12" s="179"/>
      <c r="D12" s="184">
        <f>WORCESTERSHIRE!D17</f>
        <v>59336</v>
      </c>
      <c r="F12" s="183" t="s">
        <v>2396</v>
      </c>
    </row>
    <row r="13" spans="1:6" ht="15" thickBot="1">
      <c r="B13" s="179"/>
      <c r="C13" s="179"/>
      <c r="D13" s="185">
        <f>D11+D12</f>
        <v>78036</v>
      </c>
      <c r="F13" s="183"/>
    </row>
    <row r="14" spans="1:6">
      <c r="B14" s="179"/>
      <c r="C14" s="179"/>
      <c r="D14" s="182"/>
      <c r="F14" s="183"/>
    </row>
    <row r="15" spans="1:6">
      <c r="A15" s="180" t="s">
        <v>3153</v>
      </c>
      <c r="D15" s="186">
        <f t="shared" ref="D15" si="6">D198</f>
        <v>75011</v>
      </c>
      <c r="F15" s="179" t="s">
        <v>3154</v>
      </c>
    </row>
    <row r="16" spans="1:6">
      <c r="D16" s="187"/>
    </row>
    <row r="17" spans="1:6">
      <c r="A17" s="179" t="s">
        <v>3155</v>
      </c>
      <c r="D17" s="182">
        <f t="shared" ref="D17" si="7">D65</f>
        <v>47339</v>
      </c>
      <c r="F17" s="179" t="s">
        <v>2368</v>
      </c>
    </row>
    <row r="18" spans="1:6" ht="15" thickBot="1">
      <c r="D18" s="184">
        <f t="shared" ref="D18" si="8">D91</f>
        <v>26785</v>
      </c>
      <c r="F18" s="179" t="s">
        <v>3156</v>
      </c>
    </row>
    <row r="19" spans="1:6" ht="15" thickBot="1">
      <c r="D19" s="184">
        <f t="shared" ref="D19" si="9">D17+D18</f>
        <v>74124</v>
      </c>
    </row>
    <row r="20" spans="1:6">
      <c r="D20" s="187"/>
    </row>
    <row r="21" spans="1:6">
      <c r="A21" s="179" t="s">
        <v>3157</v>
      </c>
      <c r="D21" s="187">
        <f>D92</f>
        <v>63786</v>
      </c>
      <c r="F21" s="179" t="s">
        <v>3156</v>
      </c>
    </row>
    <row r="22" spans="1:6" ht="15" thickBot="1">
      <c r="D22" s="184">
        <f>D117</f>
        <v>12599</v>
      </c>
      <c r="F22" s="179" t="s">
        <v>3158</v>
      </c>
    </row>
    <row r="23" spans="1:6" ht="15" thickBot="1">
      <c r="D23" s="184">
        <f t="shared" ref="D23" si="10">D21+D22</f>
        <v>76385</v>
      </c>
    </row>
    <row r="24" spans="1:6">
      <c r="D24" s="187"/>
    </row>
    <row r="25" spans="1:6">
      <c r="A25" s="179" t="s">
        <v>3159</v>
      </c>
      <c r="D25" s="182">
        <f>D118</f>
        <v>58588</v>
      </c>
      <c r="F25" s="179" t="s">
        <v>3158</v>
      </c>
    </row>
    <row r="26" spans="1:6" ht="15" thickBot="1">
      <c r="D26" s="184">
        <f>D165</f>
        <v>18642</v>
      </c>
      <c r="F26" s="179" t="s">
        <v>3152</v>
      </c>
    </row>
    <row r="27" spans="1:6" ht="15" thickBot="1">
      <c r="D27" s="184">
        <f t="shared" ref="D27" si="11">D25+D26</f>
        <v>77230</v>
      </c>
    </row>
    <row r="28" spans="1:6">
      <c r="D28" s="187"/>
    </row>
    <row r="29" spans="1:6">
      <c r="A29" s="180" t="s">
        <v>3160</v>
      </c>
      <c r="D29" s="187">
        <f>'WEST MIDLANDS'!D61</f>
        <v>74592</v>
      </c>
      <c r="F29" s="180" t="s">
        <v>3161</v>
      </c>
    </row>
    <row r="30" spans="1:6" ht="15" thickBot="1">
      <c r="D30" s="188">
        <f>D166</f>
        <v>2582</v>
      </c>
      <c r="F30" s="179" t="s">
        <v>3152</v>
      </c>
    </row>
    <row r="31" spans="1:6" ht="15" thickBot="1">
      <c r="D31" s="189">
        <f>D29+D30</f>
        <v>77174</v>
      </c>
    </row>
    <row r="32" spans="1:6">
      <c r="D32" s="187"/>
    </row>
    <row r="33" spans="1:9">
      <c r="A33" s="179" t="s">
        <v>3162</v>
      </c>
      <c r="D33" s="182">
        <f>D167</f>
        <v>54368</v>
      </c>
      <c r="F33" s="179" t="s">
        <v>3152</v>
      </c>
    </row>
    <row r="34" spans="1:9" ht="15" thickBot="1">
      <c r="D34" s="184">
        <f>D199</f>
        <v>22916</v>
      </c>
      <c r="F34" s="179" t="s">
        <v>3154</v>
      </c>
    </row>
    <row r="35" spans="1:9" ht="15" thickBot="1">
      <c r="D35" s="184">
        <f t="shared" ref="D35" si="12">D33+D34</f>
        <v>77284</v>
      </c>
    </row>
    <row r="36" spans="1:9">
      <c r="D36" s="187"/>
    </row>
    <row r="37" spans="1:9">
      <c r="A37" s="179" t="s">
        <v>1041</v>
      </c>
      <c r="D37" s="182">
        <f>D11+D15+D19+D23+D27+D30+D35</f>
        <v>401316</v>
      </c>
    </row>
    <row r="38" spans="1:9">
      <c r="D38" s="187"/>
    </row>
    <row r="39" spans="1:9">
      <c r="A39" s="179" t="s">
        <v>1042</v>
      </c>
      <c r="D39" s="182">
        <f>MAX(D13,D15,D19,D23,D27,D31,D35)-MIN(D13,D15,D19,D23,D27,D31,D35)</f>
        <v>3912</v>
      </c>
    </row>
    <row r="40" spans="1:9">
      <c r="D40" s="187"/>
    </row>
    <row r="41" spans="1:9">
      <c r="A41" s="179" t="s">
        <v>1045</v>
      </c>
      <c r="D41" s="182">
        <f>STDEVP(D13,D15,D19,D23,D27,D31,D35)</f>
        <v>1299.8619549939972</v>
      </c>
    </row>
    <row r="42" spans="1:9">
      <c r="A42" s="179"/>
      <c r="D42" s="190"/>
    </row>
    <row r="44" spans="1:9">
      <c r="D44" s="10" t="s">
        <v>285</v>
      </c>
      <c r="E44" s="38"/>
      <c r="F44" s="38" t="s">
        <v>1842</v>
      </c>
    </row>
    <row r="45" spans="1:9">
      <c r="D45" s="191">
        <v>2016</v>
      </c>
      <c r="E45" s="192"/>
      <c r="F45" s="41" t="s">
        <v>286</v>
      </c>
    </row>
    <row r="46" spans="1:9">
      <c r="A46" s="179" t="s">
        <v>3163</v>
      </c>
      <c r="C46" s="179"/>
      <c r="D46" s="182">
        <f t="shared" ref="D46" si="13">SUM(D47:D63)</f>
        <v>47339</v>
      </c>
    </row>
    <row r="47" spans="1:9">
      <c r="A47" s="179" t="s">
        <v>812</v>
      </c>
      <c r="B47" s="179" t="s">
        <v>3164</v>
      </c>
      <c r="C47" s="1" t="s">
        <v>3165</v>
      </c>
      <c r="D47" s="8">
        <v>4050</v>
      </c>
      <c r="F47" s="179" t="s">
        <v>3155</v>
      </c>
      <c r="G47" s="1"/>
      <c r="I47" s="1"/>
    </row>
    <row r="48" spans="1:9">
      <c r="A48" s="179" t="s">
        <v>813</v>
      </c>
      <c r="B48" s="179" t="s">
        <v>3166</v>
      </c>
      <c r="C48" s="1" t="s">
        <v>3167</v>
      </c>
      <c r="D48" s="7">
        <v>2728</v>
      </c>
      <c r="F48" s="179" t="s">
        <v>3155</v>
      </c>
      <c r="G48" s="1"/>
      <c r="I48" s="1"/>
    </row>
    <row r="49" spans="1:9">
      <c r="A49" s="179" t="s">
        <v>814</v>
      </c>
      <c r="B49" s="179" t="s">
        <v>3168</v>
      </c>
      <c r="C49" s="1" t="s">
        <v>3169</v>
      </c>
      <c r="D49" s="7">
        <v>2659</v>
      </c>
      <c r="F49" s="179" t="s">
        <v>3155</v>
      </c>
      <c r="G49" s="1"/>
      <c r="I49" s="1"/>
    </row>
    <row r="50" spans="1:9">
      <c r="A50" s="179" t="s">
        <v>815</v>
      </c>
      <c r="B50" s="179" t="s">
        <v>3170</v>
      </c>
      <c r="C50" s="1" t="s">
        <v>3171</v>
      </c>
      <c r="D50" s="7">
        <v>2768</v>
      </c>
      <c r="F50" s="179" t="s">
        <v>3155</v>
      </c>
      <c r="G50" s="1"/>
      <c r="I50" s="1"/>
    </row>
    <row r="51" spans="1:9">
      <c r="A51" s="179" t="s">
        <v>816</v>
      </c>
      <c r="B51" s="179" t="s">
        <v>3172</v>
      </c>
      <c r="C51" s="1" t="s">
        <v>3173</v>
      </c>
      <c r="D51" s="7">
        <v>3063</v>
      </c>
      <c r="F51" s="179" t="s">
        <v>3155</v>
      </c>
      <c r="G51" s="1"/>
      <c r="I51" s="1"/>
    </row>
    <row r="52" spans="1:9">
      <c r="A52" s="179" t="s">
        <v>826</v>
      </c>
      <c r="B52" s="179" t="s">
        <v>3174</v>
      </c>
      <c r="C52" s="1" t="s">
        <v>3175</v>
      </c>
      <c r="D52" s="7">
        <v>2468</v>
      </c>
      <c r="F52" s="179" t="s">
        <v>3155</v>
      </c>
      <c r="G52" s="1"/>
      <c r="I52" s="1"/>
    </row>
    <row r="53" spans="1:9">
      <c r="A53" s="179" t="s">
        <v>827</v>
      </c>
      <c r="B53" s="179" t="s">
        <v>3176</v>
      </c>
      <c r="C53" s="1" t="s">
        <v>3177</v>
      </c>
      <c r="D53" s="7">
        <v>2698</v>
      </c>
      <c r="F53" s="179" t="s">
        <v>3155</v>
      </c>
      <c r="G53" s="1"/>
      <c r="I53" s="1"/>
    </row>
    <row r="54" spans="1:9">
      <c r="A54" s="179" t="s">
        <v>828</v>
      </c>
      <c r="B54" s="179" t="s">
        <v>3178</v>
      </c>
      <c r="C54" s="1" t="s">
        <v>3179</v>
      </c>
      <c r="D54" s="7">
        <v>2666</v>
      </c>
      <c r="F54" s="179" t="s">
        <v>3155</v>
      </c>
      <c r="G54" s="1"/>
      <c r="I54" s="1"/>
    </row>
    <row r="55" spans="1:9">
      <c r="A55" s="179" t="s">
        <v>829</v>
      </c>
      <c r="B55" s="179" t="s">
        <v>3180</v>
      </c>
      <c r="C55" s="1" t="s">
        <v>3181</v>
      </c>
      <c r="D55" s="7">
        <v>2276</v>
      </c>
      <c r="F55" s="179" t="s">
        <v>3155</v>
      </c>
      <c r="G55" s="1"/>
      <c r="I55" s="1"/>
    </row>
    <row r="56" spans="1:9">
      <c r="A56" s="179" t="s">
        <v>830</v>
      </c>
      <c r="B56" s="179" t="s">
        <v>3182</v>
      </c>
      <c r="C56" s="1" t="s">
        <v>3183</v>
      </c>
      <c r="D56" s="7">
        <v>2643</v>
      </c>
      <c r="F56" s="179" t="s">
        <v>3155</v>
      </c>
      <c r="G56" s="1"/>
      <c r="I56" s="1"/>
    </row>
    <row r="57" spans="1:9">
      <c r="A57" s="179" t="s">
        <v>831</v>
      </c>
      <c r="B57" s="179" t="s">
        <v>3184</v>
      </c>
      <c r="C57" s="1" t="s">
        <v>3185</v>
      </c>
      <c r="D57" s="8">
        <v>2837</v>
      </c>
      <c r="F57" s="179" t="s">
        <v>3155</v>
      </c>
      <c r="G57" s="1"/>
      <c r="I57" s="1"/>
    </row>
    <row r="58" spans="1:9">
      <c r="A58" s="179" t="s">
        <v>832</v>
      </c>
      <c r="B58" s="179" t="s">
        <v>3186</v>
      </c>
      <c r="C58" s="1" t="s">
        <v>3187</v>
      </c>
      <c r="D58" s="7">
        <v>2880</v>
      </c>
      <c r="F58" s="179" t="s">
        <v>3155</v>
      </c>
      <c r="G58" s="1"/>
      <c r="I58" s="1"/>
    </row>
    <row r="59" spans="1:9">
      <c r="A59" s="179" t="s">
        <v>833</v>
      </c>
      <c r="B59" s="179" t="s">
        <v>3188</v>
      </c>
      <c r="C59" s="1" t="s">
        <v>3189</v>
      </c>
      <c r="D59" s="7">
        <v>2945</v>
      </c>
      <c r="F59" s="179" t="s">
        <v>3155</v>
      </c>
      <c r="G59" s="1"/>
      <c r="I59" s="1"/>
    </row>
    <row r="60" spans="1:9">
      <c r="A60" s="179" t="s">
        <v>834</v>
      </c>
      <c r="B60" s="179" t="s">
        <v>3190</v>
      </c>
      <c r="C60" s="1" t="s">
        <v>3191</v>
      </c>
      <c r="D60" s="7">
        <v>2712</v>
      </c>
      <c r="F60" s="179" t="s">
        <v>3155</v>
      </c>
      <c r="G60" s="1"/>
      <c r="I60" s="1"/>
    </row>
    <row r="61" spans="1:9">
      <c r="A61" s="193">
        <v>15</v>
      </c>
      <c r="B61" s="179" t="s">
        <v>3192</v>
      </c>
      <c r="C61" s="1" t="s">
        <v>3193</v>
      </c>
      <c r="D61" s="7">
        <v>2602</v>
      </c>
      <c r="F61" s="179" t="s">
        <v>3155</v>
      </c>
      <c r="G61" s="1"/>
      <c r="I61" s="1"/>
    </row>
    <row r="62" spans="1:9">
      <c r="A62" s="193">
        <v>16</v>
      </c>
      <c r="B62" s="179" t="s">
        <v>3194</v>
      </c>
      <c r="C62" s="1" t="s">
        <v>3195</v>
      </c>
      <c r="D62" s="7">
        <v>2623</v>
      </c>
      <c r="F62" s="179" t="s">
        <v>3155</v>
      </c>
      <c r="G62" s="1"/>
      <c r="I62" s="1"/>
    </row>
    <row r="63" spans="1:9">
      <c r="A63" s="193">
        <v>17</v>
      </c>
      <c r="B63" s="179" t="s">
        <v>3196</v>
      </c>
      <c r="C63" s="1" t="s">
        <v>3197</v>
      </c>
      <c r="D63" s="7">
        <v>2721</v>
      </c>
      <c r="F63" s="179" t="s">
        <v>3155</v>
      </c>
      <c r="G63" s="1"/>
      <c r="I63" s="1"/>
    </row>
    <row r="64" spans="1:9">
      <c r="D64" s="187"/>
    </row>
    <row r="65" spans="1:9">
      <c r="A65" s="179" t="s">
        <v>3198</v>
      </c>
      <c r="D65" s="182">
        <f>SUM(D47:D63)</f>
        <v>47339</v>
      </c>
    </row>
    <row r="66" spans="1:9">
      <c r="D66" s="187"/>
    </row>
    <row r="67" spans="1:9" ht="15" customHeight="1">
      <c r="A67" s="180" t="s">
        <v>3199</v>
      </c>
    </row>
    <row r="68" spans="1:9">
      <c r="A68" s="179"/>
      <c r="B68" s="179"/>
      <c r="D68" s="194"/>
    </row>
    <row r="69" spans="1:9">
      <c r="A69" s="179"/>
      <c r="B69" s="179"/>
      <c r="D69" s="194"/>
    </row>
    <row r="70" spans="1:9">
      <c r="D70" s="10" t="s">
        <v>285</v>
      </c>
      <c r="E70" s="38"/>
      <c r="F70" s="38" t="s">
        <v>1842</v>
      </c>
    </row>
    <row r="71" spans="1:9">
      <c r="D71" s="191">
        <v>2016</v>
      </c>
      <c r="E71" s="192"/>
      <c r="F71" s="41" t="s">
        <v>286</v>
      </c>
    </row>
    <row r="72" spans="1:9">
      <c r="A72" s="179" t="s">
        <v>3200</v>
      </c>
      <c r="D72" s="182">
        <f t="shared" ref="D72" si="14">SUM(D73:D77)+SUM(D78:D86)+SUM(D87:D89)</f>
        <v>90571</v>
      </c>
    </row>
    <row r="73" spans="1:9">
      <c r="A73" s="179" t="s">
        <v>812</v>
      </c>
      <c r="B73" s="179" t="s">
        <v>998</v>
      </c>
      <c r="C73" s="1" t="s">
        <v>3201</v>
      </c>
      <c r="D73" s="7">
        <v>5583</v>
      </c>
      <c r="F73" s="179" t="s">
        <v>3157</v>
      </c>
      <c r="G73" s="1"/>
      <c r="H73" s="1"/>
      <c r="I73" s="1"/>
    </row>
    <row r="74" spans="1:9">
      <c r="A74" s="179" t="s">
        <v>813</v>
      </c>
      <c r="B74" s="179" t="s">
        <v>3202</v>
      </c>
      <c r="C74" s="1" t="s">
        <v>3203</v>
      </c>
      <c r="D74" s="7">
        <v>5084</v>
      </c>
      <c r="F74" s="179" t="s">
        <v>3157</v>
      </c>
      <c r="G74" s="1"/>
      <c r="H74" s="1"/>
      <c r="I74" s="1"/>
    </row>
    <row r="75" spans="1:9">
      <c r="A75" s="179" t="s">
        <v>814</v>
      </c>
      <c r="B75" s="179" t="s">
        <v>3204</v>
      </c>
      <c r="C75" s="1" t="s">
        <v>3205</v>
      </c>
      <c r="D75" s="7">
        <v>5385</v>
      </c>
      <c r="F75" s="179" t="s">
        <v>3157</v>
      </c>
      <c r="G75" s="1"/>
      <c r="H75" s="1"/>
      <c r="I75" s="1"/>
    </row>
    <row r="76" spans="1:9">
      <c r="A76" s="179" t="s">
        <v>815</v>
      </c>
      <c r="B76" s="179" t="s">
        <v>3206</v>
      </c>
      <c r="C76" s="1" t="s">
        <v>3207</v>
      </c>
      <c r="D76" s="7">
        <v>5160</v>
      </c>
      <c r="F76" s="179" t="s">
        <v>3157</v>
      </c>
      <c r="G76" s="1"/>
      <c r="H76" s="1"/>
      <c r="I76" s="1"/>
    </row>
    <row r="77" spans="1:9">
      <c r="A77" s="179" t="s">
        <v>816</v>
      </c>
      <c r="B77" s="179" t="s">
        <v>3208</v>
      </c>
      <c r="C77" s="1" t="s">
        <v>3209</v>
      </c>
      <c r="D77" s="7">
        <v>4910</v>
      </c>
      <c r="F77" s="179" t="s">
        <v>3155</v>
      </c>
      <c r="G77" s="1"/>
      <c r="H77" s="1"/>
      <c r="I77" s="1"/>
    </row>
    <row r="78" spans="1:9">
      <c r="A78" s="179" t="s">
        <v>826</v>
      </c>
      <c r="B78" s="179" t="s">
        <v>3210</v>
      </c>
      <c r="C78" s="1" t="s">
        <v>3211</v>
      </c>
      <c r="D78" s="8">
        <v>4916</v>
      </c>
      <c r="F78" s="179" t="s">
        <v>3157</v>
      </c>
      <c r="G78" s="1"/>
      <c r="H78" s="1"/>
      <c r="I78" s="1"/>
    </row>
    <row r="79" spans="1:9">
      <c r="A79" s="179" t="s">
        <v>827</v>
      </c>
      <c r="B79" s="179" t="s">
        <v>3212</v>
      </c>
      <c r="C79" s="1" t="s">
        <v>3213</v>
      </c>
      <c r="D79" s="7">
        <v>5312</v>
      </c>
      <c r="F79" s="179" t="s">
        <v>3157</v>
      </c>
      <c r="G79" s="1"/>
      <c r="H79" s="1"/>
      <c r="I79" s="1"/>
    </row>
    <row r="80" spans="1:9">
      <c r="A80" s="179" t="s">
        <v>828</v>
      </c>
      <c r="B80" s="179" t="s">
        <v>3214</v>
      </c>
      <c r="C80" s="1" t="s">
        <v>3215</v>
      </c>
      <c r="D80" s="7">
        <v>5760</v>
      </c>
      <c r="F80" s="179" t="s">
        <v>3155</v>
      </c>
      <c r="G80" s="1"/>
      <c r="H80" s="1"/>
      <c r="I80" s="1"/>
    </row>
    <row r="81" spans="1:9">
      <c r="A81" s="179" t="s">
        <v>829</v>
      </c>
      <c r="B81" s="179" t="s">
        <v>3216</v>
      </c>
      <c r="C81" s="1" t="s">
        <v>3217</v>
      </c>
      <c r="D81" s="7">
        <v>5834</v>
      </c>
      <c r="F81" s="179" t="s">
        <v>3157</v>
      </c>
      <c r="G81" s="1"/>
      <c r="H81" s="1"/>
      <c r="I81" s="1"/>
    </row>
    <row r="82" spans="1:9">
      <c r="A82" s="179" t="s">
        <v>830</v>
      </c>
      <c r="B82" s="179" t="s">
        <v>2851</v>
      </c>
      <c r="C82" s="1" t="s">
        <v>3218</v>
      </c>
      <c r="D82" s="7">
        <v>5480</v>
      </c>
      <c r="F82" s="179" t="s">
        <v>3155</v>
      </c>
      <c r="G82" s="1"/>
      <c r="H82" s="1"/>
      <c r="I82" s="1"/>
    </row>
    <row r="83" spans="1:9">
      <c r="A83" s="179" t="s">
        <v>831</v>
      </c>
      <c r="B83" s="179" t="s">
        <v>907</v>
      </c>
      <c r="C83" s="1" t="s">
        <v>3219</v>
      </c>
      <c r="D83" s="7">
        <v>4768</v>
      </c>
      <c r="F83" s="179" t="s">
        <v>3157</v>
      </c>
      <c r="G83" s="1"/>
      <c r="H83" s="1"/>
      <c r="I83" s="1"/>
    </row>
    <row r="84" spans="1:9">
      <c r="A84" s="179" t="s">
        <v>832</v>
      </c>
      <c r="B84" s="179" t="s">
        <v>3220</v>
      </c>
      <c r="C84" s="1" t="s">
        <v>3221</v>
      </c>
      <c r="D84" s="7">
        <v>5449</v>
      </c>
      <c r="F84" s="179" t="s">
        <v>3155</v>
      </c>
      <c r="G84" s="1"/>
      <c r="H84" s="1"/>
      <c r="I84" s="1"/>
    </row>
    <row r="85" spans="1:9">
      <c r="A85" s="179" t="s">
        <v>833</v>
      </c>
      <c r="B85" s="179" t="s">
        <v>3222</v>
      </c>
      <c r="C85" s="1" t="s">
        <v>3223</v>
      </c>
      <c r="D85" s="7">
        <v>5427</v>
      </c>
      <c r="F85" s="179" t="s">
        <v>3157</v>
      </c>
      <c r="G85" s="1"/>
      <c r="H85" s="1"/>
      <c r="I85" s="1"/>
    </row>
    <row r="86" spans="1:9">
      <c r="A86" s="179" t="s">
        <v>834</v>
      </c>
      <c r="B86" s="179" t="s">
        <v>3224</v>
      </c>
      <c r="C86" s="1" t="s">
        <v>3225</v>
      </c>
      <c r="D86" s="7">
        <v>5186</v>
      </c>
      <c r="F86" s="179" t="s">
        <v>3155</v>
      </c>
      <c r="G86" s="1"/>
      <c r="H86" s="1"/>
      <c r="I86" s="1"/>
    </row>
    <row r="87" spans="1:9">
      <c r="A87" s="179" t="s">
        <v>835</v>
      </c>
      <c r="B87" s="179" t="s">
        <v>3226</v>
      </c>
      <c r="C87" s="1" t="s">
        <v>3227</v>
      </c>
      <c r="D87" s="7">
        <v>5748</v>
      </c>
      <c r="F87" s="179" t="s">
        <v>3157</v>
      </c>
      <c r="G87" s="1"/>
      <c r="H87" s="1"/>
      <c r="I87" s="1"/>
    </row>
    <row r="88" spans="1:9">
      <c r="A88" s="193">
        <v>16</v>
      </c>
      <c r="B88" s="179" t="s">
        <v>3228</v>
      </c>
      <c r="C88" s="1" t="s">
        <v>3229</v>
      </c>
      <c r="D88" s="7">
        <v>5040</v>
      </c>
      <c r="F88" s="179" t="s">
        <v>3157</v>
      </c>
      <c r="G88" s="1"/>
      <c r="H88" s="1"/>
      <c r="I88" s="1"/>
    </row>
    <row r="89" spans="1:9">
      <c r="A89" s="195">
        <v>17</v>
      </c>
      <c r="B89" s="179" t="s">
        <v>3230</v>
      </c>
      <c r="C89" s="1" t="s">
        <v>3231</v>
      </c>
      <c r="D89" s="8">
        <v>5529</v>
      </c>
      <c r="F89" s="179" t="s">
        <v>3157</v>
      </c>
      <c r="G89" s="1"/>
      <c r="H89" s="1"/>
      <c r="I89" s="1"/>
    </row>
    <row r="90" spans="1:9">
      <c r="D90" s="187"/>
    </row>
    <row r="91" spans="1:9">
      <c r="A91" s="179" t="s">
        <v>3198</v>
      </c>
      <c r="D91" s="182">
        <f t="shared" ref="D91" si="15">D77+D80+D82+D84+D86</f>
        <v>26785</v>
      </c>
    </row>
    <row r="92" spans="1:9">
      <c r="A92" s="179" t="s">
        <v>3232</v>
      </c>
      <c r="D92" s="182">
        <f>SUM(D73:D76)+D78+D79+D81+D83+D85+SUM(D87:D89)</f>
        <v>63786</v>
      </c>
    </row>
    <row r="93" spans="1:9">
      <c r="A93" s="179"/>
      <c r="D93" s="182"/>
    </row>
    <row r="94" spans="1:9">
      <c r="A94" s="179" t="s">
        <v>3233</v>
      </c>
      <c r="D94" s="182"/>
    </row>
    <row r="95" spans="1:9">
      <c r="A95" s="179"/>
      <c r="B95" s="179"/>
      <c r="D95" s="194"/>
    </row>
    <row r="96" spans="1:9">
      <c r="A96" s="179"/>
      <c r="B96" s="179"/>
      <c r="D96" s="194"/>
    </row>
    <row r="97" spans="1:11">
      <c r="D97" s="10" t="s">
        <v>285</v>
      </c>
      <c r="E97" s="38"/>
      <c r="F97" s="38" t="s">
        <v>1842</v>
      </c>
    </row>
    <row r="98" spans="1:11">
      <c r="D98" s="191">
        <v>2016</v>
      </c>
      <c r="E98" s="192"/>
      <c r="F98" s="41" t="s">
        <v>286</v>
      </c>
    </row>
    <row r="99" spans="1:11">
      <c r="A99" s="179" t="s">
        <v>3234</v>
      </c>
      <c r="D99" s="182">
        <f>SUM(D100:D115)</f>
        <v>71187</v>
      </c>
    </row>
    <row r="100" spans="1:11">
      <c r="A100" s="179" t="s">
        <v>812</v>
      </c>
      <c r="B100" s="179" t="s">
        <v>3235</v>
      </c>
      <c r="C100" s="1" t="s">
        <v>3236</v>
      </c>
      <c r="D100" s="7">
        <v>5508</v>
      </c>
      <c r="F100" s="179" t="s">
        <v>3159</v>
      </c>
      <c r="G100" s="21"/>
      <c r="H100" s="21"/>
      <c r="I100" s="21"/>
      <c r="J100" s="21"/>
      <c r="K100" s="21"/>
    </row>
    <row r="101" spans="1:11">
      <c r="A101" s="179" t="s">
        <v>813</v>
      </c>
      <c r="B101" s="179" t="s">
        <v>3237</v>
      </c>
      <c r="C101" s="1" t="s">
        <v>3238</v>
      </c>
      <c r="D101" s="7">
        <v>4487</v>
      </c>
      <c r="F101" s="179" t="s">
        <v>3159</v>
      </c>
      <c r="G101" s="21"/>
      <c r="H101" s="21"/>
      <c r="I101" s="21"/>
      <c r="J101" s="21"/>
      <c r="K101" s="21"/>
    </row>
    <row r="102" spans="1:11">
      <c r="A102" s="179" t="s">
        <v>814</v>
      </c>
      <c r="B102" s="179" t="s">
        <v>3239</v>
      </c>
      <c r="C102" s="1" t="s">
        <v>3240</v>
      </c>
      <c r="D102" s="7">
        <v>5000</v>
      </c>
      <c r="F102" s="179" t="s">
        <v>3159</v>
      </c>
      <c r="G102" s="21"/>
      <c r="H102" s="21"/>
      <c r="I102" s="21"/>
      <c r="J102" s="21"/>
      <c r="K102" s="21"/>
    </row>
    <row r="103" spans="1:11">
      <c r="A103" s="179" t="s">
        <v>815</v>
      </c>
      <c r="B103" s="179" t="s">
        <v>3241</v>
      </c>
      <c r="C103" s="1" t="s">
        <v>3242</v>
      </c>
      <c r="D103" s="7">
        <v>1683</v>
      </c>
      <c r="F103" s="179" t="s">
        <v>3159</v>
      </c>
      <c r="G103" s="21"/>
      <c r="H103" s="21"/>
      <c r="I103" s="21"/>
      <c r="J103" s="21"/>
      <c r="K103" s="21"/>
    </row>
    <row r="104" spans="1:11">
      <c r="A104" s="179" t="s">
        <v>816</v>
      </c>
      <c r="B104" s="179" t="s">
        <v>3243</v>
      </c>
      <c r="C104" s="1" t="s">
        <v>3244</v>
      </c>
      <c r="D104" s="7">
        <v>4789</v>
      </c>
      <c r="F104" s="179" t="s">
        <v>3159</v>
      </c>
      <c r="G104" s="21"/>
      <c r="H104" s="21"/>
      <c r="I104" s="21"/>
      <c r="J104" s="21"/>
      <c r="K104" s="21"/>
    </row>
    <row r="105" spans="1:11">
      <c r="A105" s="179" t="s">
        <v>826</v>
      </c>
      <c r="B105" s="180" t="s">
        <v>3245</v>
      </c>
      <c r="C105" s="1" t="s">
        <v>3246</v>
      </c>
      <c r="D105" s="7">
        <v>5761</v>
      </c>
      <c r="F105" s="179" t="s">
        <v>3159</v>
      </c>
      <c r="G105" s="21"/>
      <c r="H105" s="21"/>
      <c r="I105" s="21"/>
      <c r="J105" s="21"/>
      <c r="K105" s="21"/>
    </row>
    <row r="106" spans="1:11">
      <c r="A106" s="179" t="s">
        <v>827</v>
      </c>
      <c r="B106" s="180" t="s">
        <v>3247</v>
      </c>
      <c r="C106" s="180" t="s">
        <v>3248</v>
      </c>
      <c r="D106" s="7">
        <v>5099</v>
      </c>
      <c r="F106" s="179" t="s">
        <v>3159</v>
      </c>
      <c r="G106" s="21"/>
      <c r="H106" s="21"/>
      <c r="I106" s="21"/>
      <c r="J106" s="21"/>
      <c r="K106" s="21"/>
    </row>
    <row r="107" spans="1:11">
      <c r="A107" s="179" t="s">
        <v>828</v>
      </c>
      <c r="B107" s="179" t="s">
        <v>3249</v>
      </c>
      <c r="C107" s="1" t="s">
        <v>3250</v>
      </c>
      <c r="D107" s="7">
        <v>4073</v>
      </c>
      <c r="F107" s="179" t="s">
        <v>3159</v>
      </c>
      <c r="G107" s="21"/>
      <c r="H107" s="21"/>
      <c r="I107" s="21"/>
      <c r="J107" s="21"/>
      <c r="K107" s="21"/>
    </row>
    <row r="108" spans="1:11">
      <c r="A108" s="179" t="s">
        <v>829</v>
      </c>
      <c r="B108" s="179" t="s">
        <v>3251</v>
      </c>
      <c r="C108" s="1" t="s">
        <v>3252</v>
      </c>
      <c r="D108" s="7">
        <v>1918</v>
      </c>
      <c r="F108" s="179" t="s">
        <v>3159</v>
      </c>
      <c r="G108" s="21"/>
      <c r="H108" s="21"/>
      <c r="I108" s="21"/>
      <c r="J108" s="21"/>
      <c r="K108" s="21"/>
    </row>
    <row r="109" spans="1:11">
      <c r="A109" s="179" t="s">
        <v>830</v>
      </c>
      <c r="B109" s="179" t="s">
        <v>3253</v>
      </c>
      <c r="C109" s="1" t="s">
        <v>3254</v>
      </c>
      <c r="D109" s="7">
        <v>4476</v>
      </c>
      <c r="F109" s="179" t="s">
        <v>3159</v>
      </c>
      <c r="G109" s="21"/>
      <c r="H109" s="21"/>
      <c r="I109" s="21"/>
      <c r="J109" s="21"/>
      <c r="K109" s="21"/>
    </row>
    <row r="110" spans="1:11">
      <c r="A110" s="179" t="s">
        <v>831</v>
      </c>
      <c r="B110" s="179" t="s">
        <v>3255</v>
      </c>
      <c r="C110" s="1" t="s">
        <v>3256</v>
      </c>
      <c r="D110" s="7">
        <v>4839</v>
      </c>
      <c r="F110" s="179" t="s">
        <v>3159</v>
      </c>
      <c r="G110" s="21"/>
      <c r="H110" s="21"/>
      <c r="I110" s="21"/>
      <c r="J110" s="21"/>
      <c r="K110" s="21"/>
    </row>
    <row r="111" spans="1:11">
      <c r="A111" s="179" t="s">
        <v>832</v>
      </c>
      <c r="B111" s="179" t="s">
        <v>3257</v>
      </c>
      <c r="C111" s="1" t="s">
        <v>3258</v>
      </c>
      <c r="D111" s="7">
        <v>5396</v>
      </c>
      <c r="F111" s="179" t="s">
        <v>3159</v>
      </c>
      <c r="G111" s="21"/>
      <c r="H111" s="21"/>
      <c r="I111" s="21"/>
      <c r="J111" s="21"/>
      <c r="K111" s="21"/>
    </row>
    <row r="112" spans="1:11">
      <c r="A112" s="179" t="s">
        <v>833</v>
      </c>
      <c r="B112" s="179" t="s">
        <v>3259</v>
      </c>
      <c r="C112" s="1" t="s">
        <v>3260</v>
      </c>
      <c r="D112" s="7">
        <v>5170</v>
      </c>
      <c r="F112" s="179" t="s">
        <v>3157</v>
      </c>
      <c r="G112" s="21"/>
      <c r="H112" s="21"/>
      <c r="I112" s="21"/>
      <c r="J112" s="21"/>
      <c r="K112" s="21"/>
    </row>
    <row r="113" spans="1:11">
      <c r="A113" s="179" t="s">
        <v>834</v>
      </c>
      <c r="B113" s="179" t="s">
        <v>3261</v>
      </c>
      <c r="C113" s="1" t="s">
        <v>3262</v>
      </c>
      <c r="D113" s="8">
        <v>5559</v>
      </c>
      <c r="F113" s="179" t="s">
        <v>3159</v>
      </c>
      <c r="G113" s="21"/>
      <c r="H113" s="21"/>
      <c r="I113" s="21"/>
      <c r="J113" s="21"/>
      <c r="K113" s="21"/>
    </row>
    <row r="114" spans="1:11">
      <c r="A114" s="179" t="s">
        <v>835</v>
      </c>
      <c r="B114" s="179" t="s">
        <v>3263</v>
      </c>
      <c r="C114" s="1" t="s">
        <v>3264</v>
      </c>
      <c r="D114" s="8">
        <v>5439</v>
      </c>
      <c r="F114" s="179" t="s">
        <v>3157</v>
      </c>
      <c r="G114" s="1"/>
      <c r="I114" s="1"/>
    </row>
    <row r="115" spans="1:11">
      <c r="A115" s="179" t="s">
        <v>836</v>
      </c>
      <c r="B115" s="179" t="s">
        <v>3265</v>
      </c>
      <c r="C115" s="1" t="s">
        <v>3266</v>
      </c>
      <c r="D115" s="8">
        <v>1990</v>
      </c>
      <c r="F115" s="179" t="s">
        <v>3157</v>
      </c>
      <c r="G115" s="1"/>
      <c r="I115" s="1"/>
    </row>
    <row r="116" spans="1:11">
      <c r="A116" s="179"/>
      <c r="D116" s="187"/>
    </row>
    <row r="117" spans="1:11">
      <c r="A117" s="179" t="s">
        <v>3232</v>
      </c>
      <c r="D117" s="182">
        <f>D112+D114+D115</f>
        <v>12599</v>
      </c>
    </row>
    <row r="118" spans="1:11">
      <c r="A118" s="179" t="s">
        <v>3267</v>
      </c>
      <c r="D118" s="182">
        <f>SUM(D100:D111)+D113</f>
        <v>58588</v>
      </c>
    </row>
    <row r="119" spans="1:11">
      <c r="A119" s="179"/>
      <c r="B119" s="179"/>
      <c r="D119" s="194"/>
    </row>
    <row r="120" spans="1:11">
      <c r="A120" s="179" t="s">
        <v>3268</v>
      </c>
      <c r="B120" s="179"/>
      <c r="D120" s="194"/>
    </row>
    <row r="121" spans="1:11">
      <c r="A121" s="179" t="s">
        <v>3269</v>
      </c>
      <c r="B121" s="179"/>
      <c r="D121" s="194"/>
    </row>
    <row r="122" spans="1:11">
      <c r="A122" s="179"/>
      <c r="B122" s="179"/>
      <c r="D122" s="194"/>
    </row>
    <row r="123" spans="1:11">
      <c r="A123" s="179"/>
      <c r="B123" s="179"/>
      <c r="D123" s="194"/>
    </row>
    <row r="124" spans="1:11">
      <c r="A124" s="179"/>
      <c r="D124" s="10" t="s">
        <v>285</v>
      </c>
      <c r="E124" s="38"/>
      <c r="F124" s="38" t="s">
        <v>1842</v>
      </c>
    </row>
    <row r="125" spans="1:11">
      <c r="D125" s="191">
        <v>2016</v>
      </c>
      <c r="E125" s="192"/>
      <c r="F125" s="41" t="s">
        <v>286</v>
      </c>
    </row>
    <row r="126" spans="1:11">
      <c r="A126" s="179" t="s">
        <v>3270</v>
      </c>
      <c r="D126" s="182">
        <f>SUM(D127:D142)+SUM(D143:D147)+SUM(D148:D151)+SUM(D152:D160)+D161+D162</f>
        <v>94292</v>
      </c>
    </row>
    <row r="127" spans="1:11">
      <c r="A127" s="179" t="s">
        <v>812</v>
      </c>
      <c r="B127" s="179" t="s">
        <v>3271</v>
      </c>
      <c r="C127" s="1" t="s">
        <v>3272</v>
      </c>
      <c r="D127" s="7">
        <v>3005</v>
      </c>
      <c r="F127" s="179" t="s">
        <v>3162</v>
      </c>
      <c r="G127" s="1"/>
      <c r="H127" s="19"/>
      <c r="I127" s="1"/>
    </row>
    <row r="128" spans="1:11">
      <c r="A128" s="179" t="s">
        <v>813</v>
      </c>
      <c r="B128" s="179" t="s">
        <v>3273</v>
      </c>
      <c r="C128" s="1" t="s">
        <v>3274</v>
      </c>
      <c r="D128" s="7">
        <v>2878</v>
      </c>
      <c r="F128" s="179" t="s">
        <v>3162</v>
      </c>
      <c r="G128" s="1"/>
      <c r="H128" s="19"/>
      <c r="I128" s="1"/>
    </row>
    <row r="129" spans="1:9">
      <c r="A129" s="179" t="s">
        <v>814</v>
      </c>
      <c r="B129" s="179" t="s">
        <v>3275</v>
      </c>
      <c r="C129" s="1" t="s">
        <v>3276</v>
      </c>
      <c r="D129" s="7">
        <v>1902</v>
      </c>
      <c r="F129" s="179" t="s">
        <v>3162</v>
      </c>
      <c r="G129" s="1"/>
      <c r="H129" s="19"/>
      <c r="I129" s="1"/>
    </row>
    <row r="130" spans="1:9">
      <c r="A130" s="179" t="s">
        <v>815</v>
      </c>
      <c r="B130" s="179" t="s">
        <v>3277</v>
      </c>
      <c r="C130" s="1" t="s">
        <v>3278</v>
      </c>
      <c r="D130" s="7">
        <v>2664</v>
      </c>
      <c r="F130" s="179" t="s">
        <v>3162</v>
      </c>
      <c r="G130" s="1"/>
      <c r="H130" s="19"/>
      <c r="I130" s="1"/>
    </row>
    <row r="131" spans="1:9">
      <c r="A131" s="179" t="s">
        <v>816</v>
      </c>
      <c r="B131" s="180" t="s">
        <v>3279</v>
      </c>
      <c r="C131" s="1" t="s">
        <v>3280</v>
      </c>
      <c r="D131" s="8">
        <v>2592</v>
      </c>
      <c r="F131" s="179" t="s">
        <v>3162</v>
      </c>
      <c r="G131" s="1"/>
      <c r="H131" s="19"/>
      <c r="I131" s="1"/>
    </row>
    <row r="132" spans="1:9">
      <c r="A132" s="179" t="s">
        <v>826</v>
      </c>
      <c r="B132" s="179" t="s">
        <v>3281</v>
      </c>
      <c r="C132" s="1" t="s">
        <v>3282</v>
      </c>
      <c r="D132" s="7">
        <v>2771</v>
      </c>
      <c r="F132" s="179" t="s">
        <v>3159</v>
      </c>
      <c r="G132" s="1"/>
      <c r="H132" s="19"/>
      <c r="I132" s="1"/>
    </row>
    <row r="133" spans="1:9">
      <c r="A133" s="179" t="s">
        <v>827</v>
      </c>
      <c r="B133" s="179" t="s">
        <v>3283</v>
      </c>
      <c r="C133" s="1" t="s">
        <v>3284</v>
      </c>
      <c r="D133" s="8">
        <v>2488</v>
      </c>
      <c r="F133" s="179" t="s">
        <v>3162</v>
      </c>
      <c r="G133" s="1"/>
      <c r="H133" s="19"/>
      <c r="I133" s="1"/>
    </row>
    <row r="134" spans="1:9">
      <c r="A134" s="179" t="s">
        <v>828</v>
      </c>
      <c r="B134" s="179" t="s">
        <v>3285</v>
      </c>
      <c r="C134" s="1" t="s">
        <v>3286</v>
      </c>
      <c r="D134" s="8">
        <v>2764</v>
      </c>
      <c r="F134" s="147" t="s">
        <v>3151</v>
      </c>
      <c r="G134" s="1"/>
      <c r="I134" s="1"/>
    </row>
    <row r="135" spans="1:9">
      <c r="A135" s="179" t="s">
        <v>829</v>
      </c>
      <c r="B135" s="179" t="s">
        <v>3287</v>
      </c>
      <c r="C135" s="1" t="s">
        <v>3288</v>
      </c>
      <c r="D135" s="8">
        <v>3024</v>
      </c>
      <c r="F135" s="179" t="s">
        <v>3162</v>
      </c>
      <c r="G135" s="1"/>
      <c r="I135" s="1"/>
    </row>
    <row r="136" spans="1:9">
      <c r="A136" s="179" t="s">
        <v>830</v>
      </c>
      <c r="B136" s="179" t="s">
        <v>3289</v>
      </c>
      <c r="C136" s="1" t="s">
        <v>3290</v>
      </c>
      <c r="D136" s="8">
        <v>1690</v>
      </c>
      <c r="F136" s="179" t="s">
        <v>3162</v>
      </c>
      <c r="G136" s="1"/>
      <c r="I136" s="1"/>
    </row>
    <row r="137" spans="1:9">
      <c r="A137" s="179" t="s">
        <v>831</v>
      </c>
      <c r="B137" s="179" t="s">
        <v>3291</v>
      </c>
      <c r="C137" s="1" t="s">
        <v>3292</v>
      </c>
      <c r="D137" s="8">
        <v>2703</v>
      </c>
      <c r="F137" s="147" t="s">
        <v>3151</v>
      </c>
      <c r="G137" s="1"/>
      <c r="I137" s="1"/>
    </row>
    <row r="138" spans="1:9">
      <c r="A138" s="193">
        <v>12</v>
      </c>
      <c r="B138" s="179" t="s">
        <v>3293</v>
      </c>
      <c r="C138" s="1" t="s">
        <v>3294</v>
      </c>
      <c r="D138" s="8">
        <v>2457</v>
      </c>
      <c r="F138" s="179" t="s">
        <v>3162</v>
      </c>
      <c r="G138" s="1"/>
      <c r="I138" s="1"/>
    </row>
    <row r="139" spans="1:9">
      <c r="A139" s="193">
        <v>13</v>
      </c>
      <c r="B139" s="179" t="s">
        <v>3295</v>
      </c>
      <c r="C139" s="1" t="s">
        <v>3296</v>
      </c>
      <c r="D139" s="7">
        <v>2649</v>
      </c>
      <c r="F139" s="179" t="s">
        <v>3159</v>
      </c>
      <c r="G139" s="1"/>
      <c r="I139" s="1"/>
    </row>
    <row r="140" spans="1:9">
      <c r="A140" s="193">
        <v>14</v>
      </c>
      <c r="B140" s="179" t="s">
        <v>3297</v>
      </c>
      <c r="C140" s="1" t="s">
        <v>3298</v>
      </c>
      <c r="D140" s="8">
        <v>2023</v>
      </c>
      <c r="F140" s="179" t="s">
        <v>3162</v>
      </c>
      <c r="G140" s="1"/>
      <c r="I140" s="1"/>
    </row>
    <row r="141" spans="1:9">
      <c r="A141" s="193">
        <v>15</v>
      </c>
      <c r="B141" s="179" t="s">
        <v>3299</v>
      </c>
      <c r="C141" s="1" t="s">
        <v>3300</v>
      </c>
      <c r="D141" s="8">
        <v>3147</v>
      </c>
      <c r="F141" s="179" t="s">
        <v>3162</v>
      </c>
      <c r="G141" s="1"/>
      <c r="I141" s="1"/>
    </row>
    <row r="142" spans="1:9">
      <c r="A142" s="193">
        <v>16</v>
      </c>
      <c r="B142" s="179" t="s">
        <v>3301</v>
      </c>
      <c r="C142" s="1" t="s">
        <v>3302</v>
      </c>
      <c r="D142" s="7">
        <v>2720</v>
      </c>
      <c r="F142" s="179" t="s">
        <v>3159</v>
      </c>
      <c r="G142" s="1"/>
      <c r="I142" s="1"/>
    </row>
    <row r="143" spans="1:9">
      <c r="A143" s="193">
        <v>17</v>
      </c>
      <c r="B143" s="179" t="s">
        <v>3303</v>
      </c>
      <c r="C143" s="1" t="s">
        <v>3304</v>
      </c>
      <c r="D143" s="8">
        <v>2229</v>
      </c>
      <c r="F143" s="179" t="s">
        <v>3162</v>
      </c>
      <c r="G143" s="1"/>
      <c r="H143" s="19"/>
      <c r="I143" s="1"/>
    </row>
    <row r="144" spans="1:9">
      <c r="A144" s="193">
        <v>18</v>
      </c>
      <c r="B144" s="179" t="s">
        <v>3305</v>
      </c>
      <c r="C144" s="1" t="s">
        <v>3306</v>
      </c>
      <c r="D144" s="7">
        <v>2949</v>
      </c>
      <c r="F144" s="180" t="s">
        <v>3159</v>
      </c>
      <c r="G144" s="1"/>
      <c r="H144" s="19"/>
      <c r="I144" s="1"/>
    </row>
    <row r="145" spans="1:9">
      <c r="A145" s="193">
        <v>19</v>
      </c>
      <c r="B145" s="179" t="s">
        <v>3307</v>
      </c>
      <c r="C145" s="1" t="s">
        <v>3308</v>
      </c>
      <c r="D145" s="7">
        <v>2548</v>
      </c>
      <c r="F145" s="179" t="s">
        <v>3159</v>
      </c>
      <c r="G145" s="1"/>
      <c r="H145" s="20"/>
      <c r="I145" s="1"/>
    </row>
    <row r="146" spans="1:9">
      <c r="A146" s="193">
        <v>20</v>
      </c>
      <c r="B146" s="179" t="s">
        <v>3309</v>
      </c>
      <c r="C146" s="1" t="s">
        <v>3310</v>
      </c>
      <c r="D146" s="8">
        <v>2360</v>
      </c>
      <c r="F146" s="147" t="s">
        <v>3151</v>
      </c>
      <c r="G146" s="1"/>
      <c r="H146" s="19"/>
      <c r="I146" s="1"/>
    </row>
    <row r="147" spans="1:9">
      <c r="A147" s="193">
        <v>21</v>
      </c>
      <c r="B147" s="179" t="s">
        <v>3311</v>
      </c>
      <c r="C147" s="1" t="s">
        <v>3312</v>
      </c>
      <c r="D147" s="7">
        <v>2639</v>
      </c>
      <c r="F147" s="147" t="s">
        <v>3151</v>
      </c>
      <c r="G147" s="1"/>
      <c r="H147" s="20"/>
      <c r="I147" s="1"/>
    </row>
    <row r="148" spans="1:9">
      <c r="A148" s="193">
        <v>22</v>
      </c>
      <c r="B148" s="179" t="s">
        <v>3313</v>
      </c>
      <c r="C148" s="1" t="s">
        <v>3314</v>
      </c>
      <c r="D148" s="8">
        <v>2846</v>
      </c>
      <c r="F148" s="179" t="s">
        <v>3151</v>
      </c>
      <c r="G148" s="1"/>
      <c r="H148" s="20"/>
      <c r="I148" s="1"/>
    </row>
    <row r="149" spans="1:9">
      <c r="A149" s="193">
        <v>23</v>
      </c>
      <c r="B149" s="179" t="s">
        <v>3315</v>
      </c>
      <c r="C149" s="1" t="s">
        <v>3316</v>
      </c>
      <c r="D149" s="8">
        <v>2801</v>
      </c>
      <c r="F149" s="180" t="s">
        <v>3151</v>
      </c>
      <c r="G149" s="1"/>
      <c r="H149" s="19"/>
      <c r="I149" s="1"/>
    </row>
    <row r="150" spans="1:9">
      <c r="A150" s="193">
        <v>24</v>
      </c>
      <c r="B150" s="179" t="s">
        <v>3317</v>
      </c>
      <c r="C150" s="1" t="s">
        <v>3318</v>
      </c>
      <c r="D150" s="8">
        <v>2358</v>
      </c>
      <c r="F150" s="179" t="s">
        <v>3162</v>
      </c>
      <c r="G150" s="1"/>
      <c r="H150" s="20"/>
      <c r="I150" s="1"/>
    </row>
    <row r="151" spans="1:9">
      <c r="A151" s="193">
        <v>25</v>
      </c>
      <c r="B151" s="179" t="s">
        <v>3319</v>
      </c>
      <c r="C151" s="1" t="s">
        <v>3320</v>
      </c>
      <c r="D151" s="8">
        <v>2758</v>
      </c>
      <c r="F151" s="179" t="s">
        <v>3162</v>
      </c>
      <c r="G151" s="1"/>
      <c r="H151" s="20"/>
      <c r="I151" s="1"/>
    </row>
    <row r="152" spans="1:9">
      <c r="A152" s="193">
        <v>26</v>
      </c>
      <c r="B152" s="179" t="s">
        <v>3321</v>
      </c>
      <c r="C152" s="1" t="s">
        <v>3322</v>
      </c>
      <c r="D152" s="7">
        <v>2440</v>
      </c>
      <c r="F152" s="179" t="s">
        <v>3159</v>
      </c>
      <c r="G152" s="1"/>
      <c r="H152" s="20"/>
      <c r="I152" s="1"/>
    </row>
    <row r="153" spans="1:9">
      <c r="A153" s="193">
        <v>27</v>
      </c>
      <c r="B153" s="179" t="s">
        <v>3323</v>
      </c>
      <c r="C153" s="1" t="s">
        <v>3324</v>
      </c>
      <c r="D153" s="7">
        <v>2565</v>
      </c>
      <c r="F153" s="179" t="s">
        <v>3159</v>
      </c>
      <c r="G153" s="1"/>
      <c r="H153" s="20"/>
      <c r="I153" s="1"/>
    </row>
    <row r="154" spans="1:9">
      <c r="A154" s="193">
        <v>28</v>
      </c>
      <c r="B154" s="179" t="s">
        <v>3325</v>
      </c>
      <c r="C154" s="1" t="s">
        <v>3326</v>
      </c>
      <c r="D154" s="8">
        <v>2849</v>
      </c>
      <c r="F154" s="179" t="s">
        <v>3162</v>
      </c>
      <c r="G154" s="1"/>
      <c r="H154" s="20"/>
      <c r="I154" s="1"/>
    </row>
    <row r="155" spans="1:9">
      <c r="A155" s="193">
        <v>29</v>
      </c>
      <c r="B155" s="179" t="s">
        <v>3327</v>
      </c>
      <c r="C155" s="1" t="s">
        <v>3328</v>
      </c>
      <c r="D155" s="8">
        <v>2864</v>
      </c>
      <c r="F155" s="179" t="s">
        <v>3162</v>
      </c>
      <c r="G155" s="1"/>
      <c r="H155" s="20"/>
      <c r="I155" s="1"/>
    </row>
    <row r="156" spans="1:9">
      <c r="A156" s="193">
        <v>30</v>
      </c>
      <c r="B156" s="179" t="s">
        <v>3329</v>
      </c>
      <c r="C156" s="1" t="s">
        <v>3330</v>
      </c>
      <c r="D156" s="8">
        <v>2582</v>
      </c>
      <c r="F156" s="180" t="s">
        <v>3160</v>
      </c>
      <c r="G156" s="1"/>
      <c r="H156" s="20"/>
      <c r="I156" s="1"/>
    </row>
    <row r="157" spans="1:9">
      <c r="A157" s="193">
        <v>31</v>
      </c>
      <c r="B157" s="179" t="s">
        <v>3331</v>
      </c>
      <c r="C157" s="1" t="s">
        <v>3332</v>
      </c>
      <c r="D157" s="8">
        <v>2805</v>
      </c>
      <c r="F157" s="179" t="s">
        <v>3162</v>
      </c>
      <c r="G157" s="1"/>
      <c r="H157" s="20"/>
      <c r="I157" s="1"/>
    </row>
    <row r="158" spans="1:9">
      <c r="A158" s="176" t="s">
        <v>932</v>
      </c>
      <c r="B158" s="179" t="s">
        <v>3333</v>
      </c>
      <c r="C158" s="1" t="s">
        <v>3334</v>
      </c>
      <c r="D158" s="8">
        <v>2309</v>
      </c>
      <c r="F158" s="179" t="s">
        <v>3162</v>
      </c>
      <c r="G158" s="1"/>
      <c r="H158" s="20"/>
      <c r="I158" s="1"/>
    </row>
    <row r="159" spans="1:9">
      <c r="A159" s="176" t="s">
        <v>933</v>
      </c>
      <c r="B159" s="179" t="s">
        <v>3335</v>
      </c>
      <c r="C159" s="1" t="s">
        <v>3336</v>
      </c>
      <c r="D159" s="8">
        <v>2587</v>
      </c>
      <c r="F159" s="179" t="s">
        <v>3151</v>
      </c>
      <c r="G159" s="1"/>
      <c r="H159" s="20"/>
      <c r="I159" s="1"/>
    </row>
    <row r="160" spans="1:9">
      <c r="A160" s="176" t="s">
        <v>934</v>
      </c>
      <c r="B160" s="179" t="s">
        <v>3337</v>
      </c>
      <c r="C160" s="1" t="s">
        <v>3338</v>
      </c>
      <c r="D160" s="8">
        <v>2994</v>
      </c>
      <c r="F160" s="179" t="s">
        <v>3162</v>
      </c>
      <c r="G160" s="1"/>
      <c r="H160" s="20"/>
      <c r="I160" s="1"/>
    </row>
    <row r="161" spans="1:56">
      <c r="A161" s="176" t="s">
        <v>376</v>
      </c>
      <c r="B161" s="179" t="s">
        <v>3339</v>
      </c>
      <c r="C161" s="1" t="s">
        <v>3340</v>
      </c>
      <c r="D161" s="7">
        <v>2446</v>
      </c>
      <c r="F161" s="180" t="s">
        <v>3162</v>
      </c>
      <c r="G161" s="1"/>
      <c r="H161" s="19"/>
      <c r="I161" s="1"/>
    </row>
    <row r="162" spans="1:56">
      <c r="A162" s="176" t="s">
        <v>377</v>
      </c>
      <c r="B162" s="180" t="s">
        <v>4036</v>
      </c>
      <c r="C162" s="1" t="s">
        <v>3341</v>
      </c>
      <c r="D162" s="8">
        <v>2886</v>
      </c>
      <c r="F162" s="179" t="s">
        <v>3162</v>
      </c>
      <c r="G162" s="1"/>
      <c r="H162" s="19"/>
      <c r="I162" s="1"/>
    </row>
    <row r="163" spans="1:56">
      <c r="D163" s="187"/>
    </row>
    <row r="164" spans="1:56">
      <c r="A164" s="147" t="s">
        <v>3151</v>
      </c>
      <c r="D164" s="187">
        <f>D134+D137+SUM(D146:D149)+D159</f>
        <v>18700</v>
      </c>
    </row>
    <row r="165" spans="1:56">
      <c r="A165" s="179" t="s">
        <v>3267</v>
      </c>
      <c r="D165" s="187">
        <f>D132+D139+D142+D144+D145+D152+D153</f>
        <v>18642</v>
      </c>
    </row>
    <row r="166" spans="1:56">
      <c r="A166" s="180" t="s">
        <v>3342</v>
      </c>
      <c r="D166" s="187">
        <f>D156</f>
        <v>2582</v>
      </c>
    </row>
    <row r="167" spans="1:56">
      <c r="A167" s="179" t="s">
        <v>3343</v>
      </c>
      <c r="D167" s="182">
        <f>SUM(D127:D131)+D133+D135+D136+D138+D140+D141+D143+D150+D151+D154+D155++D157+D158+SUM(D160:D162)</f>
        <v>54368</v>
      </c>
    </row>
    <row r="168" spans="1:56">
      <c r="A168" s="179"/>
      <c r="B168" s="179"/>
      <c r="D168" s="194"/>
    </row>
    <row r="169" spans="1:56">
      <c r="A169" s="180" t="s">
        <v>3344</v>
      </c>
      <c r="B169" s="179"/>
      <c r="D169" s="194"/>
    </row>
    <row r="170" spans="1:56">
      <c r="B170" s="179"/>
      <c r="D170" s="194"/>
    </row>
    <row r="171" spans="1:56">
      <c r="B171" s="179"/>
      <c r="D171" s="194"/>
    </row>
    <row r="172" spans="1:56">
      <c r="D172" s="10" t="s">
        <v>285</v>
      </c>
      <c r="E172" s="38"/>
      <c r="F172" s="38" t="s">
        <v>1842</v>
      </c>
    </row>
    <row r="173" spans="1:56">
      <c r="B173" s="10"/>
      <c r="D173" s="191">
        <v>2016</v>
      </c>
      <c r="E173" s="192"/>
      <c r="F173" s="41" t="s">
        <v>286</v>
      </c>
    </row>
    <row r="174" spans="1:56">
      <c r="A174" s="179" t="s">
        <v>3345</v>
      </c>
      <c r="D174" s="182">
        <f>SUM(D175:D196)</f>
        <v>97927</v>
      </c>
      <c r="E174" s="182"/>
    </row>
    <row r="175" spans="1:56">
      <c r="A175" s="179" t="s">
        <v>812</v>
      </c>
      <c r="B175" s="179" t="s">
        <v>998</v>
      </c>
      <c r="C175" s="1" t="s">
        <v>3346</v>
      </c>
      <c r="D175" s="7">
        <v>5292</v>
      </c>
      <c r="F175" s="180" t="s">
        <v>3153</v>
      </c>
      <c r="G175" s="1"/>
      <c r="I175" s="1"/>
      <c r="BB175" s="852"/>
      <c r="BC175" s="852"/>
      <c r="BD175" s="852"/>
    </row>
    <row r="176" spans="1:56">
      <c r="A176" s="179" t="s">
        <v>813</v>
      </c>
      <c r="B176" s="179" t="s">
        <v>3347</v>
      </c>
      <c r="C176" s="1" t="s">
        <v>3348</v>
      </c>
      <c r="D176" s="7">
        <v>4289</v>
      </c>
      <c r="F176" s="180" t="s">
        <v>3153</v>
      </c>
      <c r="G176" s="1"/>
      <c r="I176" s="1"/>
    </row>
    <row r="177" spans="1:9">
      <c r="A177" s="179" t="s">
        <v>814</v>
      </c>
      <c r="B177" s="179" t="s">
        <v>3349</v>
      </c>
      <c r="C177" s="1" t="s">
        <v>3350</v>
      </c>
      <c r="D177" s="7">
        <v>4618</v>
      </c>
      <c r="F177" s="179" t="s">
        <v>3162</v>
      </c>
      <c r="G177" s="1"/>
      <c r="I177" s="1"/>
    </row>
    <row r="178" spans="1:9">
      <c r="A178" s="179" t="s">
        <v>815</v>
      </c>
      <c r="B178" s="179" t="s">
        <v>3351</v>
      </c>
      <c r="C178" s="1" t="s">
        <v>3352</v>
      </c>
      <c r="D178" s="7">
        <v>2012</v>
      </c>
      <c r="F178" s="180" t="s">
        <v>3153</v>
      </c>
      <c r="G178" s="1"/>
      <c r="I178" s="1"/>
    </row>
    <row r="179" spans="1:9">
      <c r="A179" s="179" t="s">
        <v>816</v>
      </c>
      <c r="B179" s="179" t="s">
        <v>3353</v>
      </c>
      <c r="C179" s="1" t="s">
        <v>3354</v>
      </c>
      <c r="D179" s="7">
        <v>4682</v>
      </c>
      <c r="F179" s="180" t="s">
        <v>3153</v>
      </c>
      <c r="G179" s="1"/>
      <c r="I179" s="1"/>
    </row>
    <row r="180" spans="1:9">
      <c r="A180" s="179" t="s">
        <v>826</v>
      </c>
      <c r="B180" s="179" t="s">
        <v>3355</v>
      </c>
      <c r="C180" s="1" t="s">
        <v>3356</v>
      </c>
      <c r="D180" s="7">
        <v>4705</v>
      </c>
      <c r="F180" s="179" t="s">
        <v>3162</v>
      </c>
      <c r="G180" s="1"/>
      <c r="I180" s="1"/>
    </row>
    <row r="181" spans="1:9">
      <c r="A181" s="179" t="s">
        <v>827</v>
      </c>
      <c r="B181" s="179" t="s">
        <v>3357</v>
      </c>
      <c r="C181" s="1" t="s">
        <v>3358</v>
      </c>
      <c r="D181" s="7">
        <v>4046</v>
      </c>
      <c r="F181" s="180" t="s">
        <v>3153</v>
      </c>
      <c r="G181" s="1"/>
      <c r="I181" s="1"/>
    </row>
    <row r="182" spans="1:9">
      <c r="A182" s="179" t="s">
        <v>828</v>
      </c>
      <c r="B182" s="179" t="s">
        <v>2847</v>
      </c>
      <c r="C182" s="1" t="s">
        <v>3359</v>
      </c>
      <c r="D182" s="7">
        <v>4452</v>
      </c>
      <c r="F182" s="180" t="s">
        <v>3153</v>
      </c>
      <c r="G182" s="1"/>
      <c r="I182" s="1"/>
    </row>
    <row r="183" spans="1:9">
      <c r="A183" s="179" t="s">
        <v>829</v>
      </c>
      <c r="B183" s="179" t="s">
        <v>3360</v>
      </c>
      <c r="C183" s="1" t="s">
        <v>3361</v>
      </c>
      <c r="D183" s="7">
        <v>4575</v>
      </c>
      <c r="F183" s="179" t="s">
        <v>3162</v>
      </c>
      <c r="G183" s="1"/>
      <c r="I183" s="1"/>
    </row>
    <row r="184" spans="1:9">
      <c r="A184" s="179" t="s">
        <v>830</v>
      </c>
      <c r="B184" s="179" t="s">
        <v>3362</v>
      </c>
      <c r="C184" s="1" t="s">
        <v>3363</v>
      </c>
      <c r="D184" s="8">
        <v>3401</v>
      </c>
      <c r="F184" s="180" t="s">
        <v>3153</v>
      </c>
      <c r="G184" s="1"/>
      <c r="I184" s="1"/>
    </row>
    <row r="185" spans="1:9">
      <c r="A185" s="179" t="s">
        <v>831</v>
      </c>
      <c r="B185" s="179" t="s">
        <v>3050</v>
      </c>
      <c r="C185" s="1" t="s">
        <v>3364</v>
      </c>
      <c r="D185" s="7">
        <v>4994</v>
      </c>
      <c r="F185" s="180" t="s">
        <v>3153</v>
      </c>
      <c r="G185" s="1"/>
      <c r="I185" s="1"/>
    </row>
    <row r="186" spans="1:9">
      <c r="A186" s="179" t="s">
        <v>832</v>
      </c>
      <c r="B186" s="179" t="s">
        <v>3365</v>
      </c>
      <c r="C186" s="1" t="s">
        <v>3366</v>
      </c>
      <c r="D186" s="7">
        <v>4407</v>
      </c>
      <c r="F186" s="180" t="s">
        <v>3153</v>
      </c>
      <c r="G186" s="1"/>
      <c r="I186" s="1"/>
    </row>
    <row r="187" spans="1:9">
      <c r="A187" s="179" t="s">
        <v>833</v>
      </c>
      <c r="B187" s="179" t="s">
        <v>3367</v>
      </c>
      <c r="C187" s="1" t="s">
        <v>3368</v>
      </c>
      <c r="D187" s="8">
        <v>3804</v>
      </c>
      <c r="F187" s="180" t="s">
        <v>3153</v>
      </c>
      <c r="G187" s="1"/>
      <c r="I187" s="1"/>
    </row>
    <row r="188" spans="1:9">
      <c r="A188" s="179" t="s">
        <v>834</v>
      </c>
      <c r="B188" s="179" t="s">
        <v>3369</v>
      </c>
      <c r="C188" s="1" t="s">
        <v>3370</v>
      </c>
      <c r="D188" s="8">
        <v>4029</v>
      </c>
      <c r="F188" s="180" t="s">
        <v>3153</v>
      </c>
      <c r="G188" s="1"/>
      <c r="I188" s="1"/>
    </row>
    <row r="189" spans="1:9">
      <c r="A189" s="179" t="s">
        <v>835</v>
      </c>
      <c r="B189" s="179" t="s">
        <v>3371</v>
      </c>
      <c r="C189" s="1" t="s">
        <v>3372</v>
      </c>
      <c r="D189" s="7">
        <v>6455</v>
      </c>
      <c r="F189" s="180" t="s">
        <v>3153</v>
      </c>
      <c r="G189" s="1"/>
      <c r="I189" s="1"/>
    </row>
    <row r="190" spans="1:9">
      <c r="A190" s="179" t="s">
        <v>836</v>
      </c>
      <c r="B190" s="179" t="s">
        <v>3373</v>
      </c>
      <c r="C190" s="1" t="s">
        <v>3374</v>
      </c>
      <c r="D190" s="7">
        <v>2065</v>
      </c>
      <c r="F190" s="180" t="s">
        <v>3153</v>
      </c>
      <c r="G190" s="1"/>
      <c r="I190" s="1"/>
    </row>
    <row r="191" spans="1:9">
      <c r="A191" s="179" t="s">
        <v>837</v>
      </c>
      <c r="B191" s="179" t="s">
        <v>2912</v>
      </c>
      <c r="C191" s="1" t="s">
        <v>3375</v>
      </c>
      <c r="D191" s="7">
        <v>6546</v>
      </c>
      <c r="F191" s="180" t="s">
        <v>3153</v>
      </c>
      <c r="G191" s="1"/>
      <c r="I191" s="1"/>
    </row>
    <row r="192" spans="1:9">
      <c r="A192" s="179" t="s">
        <v>838</v>
      </c>
      <c r="B192" s="179" t="s">
        <v>3376</v>
      </c>
      <c r="C192" s="1" t="s">
        <v>3377</v>
      </c>
      <c r="D192" s="8">
        <v>4968</v>
      </c>
      <c r="F192" s="179" t="s">
        <v>3162</v>
      </c>
      <c r="G192" s="1"/>
      <c r="I192" s="1"/>
    </row>
    <row r="193" spans="1:9">
      <c r="A193" s="179" t="s">
        <v>840</v>
      </c>
      <c r="B193" s="179" t="s">
        <v>3378</v>
      </c>
      <c r="C193" s="1" t="s">
        <v>3379</v>
      </c>
      <c r="D193" s="7">
        <v>4024</v>
      </c>
      <c r="F193" s="180" t="s">
        <v>3153</v>
      </c>
      <c r="G193" s="1"/>
      <c r="I193" s="1"/>
    </row>
    <row r="194" spans="1:9">
      <c r="A194" s="179" t="s">
        <v>841</v>
      </c>
      <c r="B194" s="179" t="s">
        <v>3380</v>
      </c>
      <c r="C194" s="1" t="s">
        <v>3381</v>
      </c>
      <c r="D194" s="8">
        <v>4119</v>
      </c>
      <c r="F194" s="180" t="s">
        <v>3153</v>
      </c>
      <c r="G194" s="1"/>
      <c r="I194" s="1"/>
    </row>
    <row r="195" spans="1:9">
      <c r="A195" s="193">
        <v>21</v>
      </c>
      <c r="B195" s="179" t="s">
        <v>3382</v>
      </c>
      <c r="C195" s="1" t="s">
        <v>3383</v>
      </c>
      <c r="D195" s="8">
        <v>6394</v>
      </c>
      <c r="F195" s="180" t="s">
        <v>3153</v>
      </c>
      <c r="G195" s="1"/>
      <c r="I195" s="1"/>
    </row>
    <row r="196" spans="1:9">
      <c r="A196" s="193">
        <v>22</v>
      </c>
      <c r="B196" s="179" t="s">
        <v>3384</v>
      </c>
      <c r="C196" s="1" t="s">
        <v>3385</v>
      </c>
      <c r="D196" s="8">
        <v>4050</v>
      </c>
      <c r="F196" s="179" t="s">
        <v>3162</v>
      </c>
      <c r="G196" s="1"/>
      <c r="I196" s="1"/>
    </row>
    <row r="197" spans="1:9">
      <c r="D197" s="187"/>
    </row>
    <row r="198" spans="1:9">
      <c r="A198" s="180" t="s">
        <v>3153</v>
      </c>
      <c r="D198" s="182">
        <f>D175+D176+D178+D179+D181+D182+SUM(D184:D191)+SUM(D193:D195)</f>
        <v>75011</v>
      </c>
    </row>
    <row r="199" spans="1:9">
      <c r="A199" s="179" t="s">
        <v>3162</v>
      </c>
      <c r="D199" s="182">
        <f>D177+D180+D183+D192+D196</f>
        <v>22916</v>
      </c>
    </row>
    <row r="201" spans="1:9">
      <c r="A201" s="180" t="s">
        <v>3386</v>
      </c>
    </row>
  </sheetData>
  <mergeCells count="1">
    <mergeCell ref="BB175:BD175"/>
  </mergeCells>
  <printOptions gridLinesSet="0"/>
  <pageMargins left="0.78740157480314965" right="0" top="0.51181102362204722" bottom="0.51181102362204722" header="0.51181102362204722" footer="0.51181102362204722"/>
  <pageSetup paperSize="9" scale="70" orientation="portrait" horizontalDpi="300" verticalDpi="300" r:id="rId1"/>
  <headerFooter alignWithMargins="0">
    <oddFooter>&amp;C&amp;8&amp;P of &amp;N</oddFooter>
  </headerFooter>
  <ignoredErrors>
    <ignoredError sqref="D3:BA201" unlockedFormula="1"/>
  </ignoredError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44"/>
  <sheetViews>
    <sheetView showGridLines="0" zoomScaleNormal="100" workbookViewId="0"/>
  </sheetViews>
  <sheetFormatPr defaultColWidth="12.59765625" defaultRowHeight="14.5"/>
  <cols>
    <col min="1" max="1" width="4.8984375" style="196" customWidth="1"/>
    <col min="2" max="2" width="40.69921875" style="196" customWidth="1"/>
    <col min="3" max="3" width="11.59765625" style="196" customWidth="1"/>
    <col min="4" max="4" width="10.3984375" style="196" customWidth="1"/>
    <col min="5" max="5" width="2.296875" style="196" customWidth="1"/>
    <col min="6" max="6" width="46" style="196" customWidth="1"/>
    <col min="7" max="16384" width="12.59765625" style="196"/>
  </cols>
  <sheetData>
    <row r="1" spans="1:6">
      <c r="A1" s="176" t="s">
        <v>1075</v>
      </c>
      <c r="D1" s="197">
        <v>2016</v>
      </c>
    </row>
    <row r="3" spans="1:6">
      <c r="A3" s="176" t="s">
        <v>2381</v>
      </c>
      <c r="D3" s="198">
        <f t="shared" ref="D3" si="0">SUM(D5:D11)</f>
        <v>1862769</v>
      </c>
    </row>
    <row r="4" spans="1:6">
      <c r="D4" s="199"/>
      <c r="F4" s="200"/>
    </row>
    <row r="5" spans="1:6">
      <c r="A5" s="176" t="s">
        <v>3387</v>
      </c>
      <c r="C5" s="176"/>
      <c r="D5" s="198">
        <f t="shared" ref="D5" si="1">D95</f>
        <v>686804</v>
      </c>
      <c r="F5" s="200"/>
    </row>
    <row r="6" spans="1:6">
      <c r="A6" s="176" t="s">
        <v>3388</v>
      </c>
      <c r="C6" s="176"/>
      <c r="D6" s="198">
        <f t="shared" ref="D6" si="2">D154</f>
        <v>210031</v>
      </c>
      <c r="F6" s="200"/>
    </row>
    <row r="7" spans="1:6">
      <c r="A7" s="176" t="s">
        <v>3389</v>
      </c>
      <c r="C7" s="176"/>
      <c r="D7" s="198">
        <f t="shared" ref="D7" si="3">D183</f>
        <v>239405</v>
      </c>
      <c r="F7" s="200"/>
    </row>
    <row r="8" spans="1:6">
      <c r="A8" s="176" t="s">
        <v>3390</v>
      </c>
      <c r="C8" s="176"/>
      <c r="D8" s="198">
        <f t="shared" ref="D8" si="4">D220</f>
        <v>215484</v>
      </c>
      <c r="F8" s="200"/>
    </row>
    <row r="9" spans="1:6">
      <c r="A9" s="176" t="s">
        <v>3391</v>
      </c>
      <c r="C9" s="176"/>
      <c r="D9" s="198">
        <f t="shared" ref="D9" si="5">D258</f>
        <v>153873</v>
      </c>
      <c r="F9" s="200"/>
    </row>
    <row r="10" spans="1:6">
      <c r="A10" s="176" t="s">
        <v>3392</v>
      </c>
      <c r="C10" s="176"/>
      <c r="D10" s="198">
        <f t="shared" ref="D10" si="6">D286</f>
        <v>186960</v>
      </c>
      <c r="F10" s="200"/>
    </row>
    <row r="11" spans="1:6">
      <c r="A11" s="176" t="s">
        <v>3393</v>
      </c>
      <c r="C11" s="176"/>
      <c r="D11" s="198">
        <f t="shared" ref="D11" si="7">D318</f>
        <v>170212</v>
      </c>
      <c r="F11" s="200"/>
    </row>
    <row r="13" spans="1:6">
      <c r="A13" s="176" t="s">
        <v>3394</v>
      </c>
      <c r="D13" s="198">
        <f t="shared" ref="D13" si="8">D308</f>
        <v>76572</v>
      </c>
      <c r="F13" s="176" t="s">
        <v>3395</v>
      </c>
    </row>
    <row r="14" spans="1:6">
      <c r="D14" s="199"/>
    </row>
    <row r="15" spans="1:6">
      <c r="A15" s="176" t="s">
        <v>3396</v>
      </c>
      <c r="D15" s="198">
        <f>D137</f>
        <v>71357</v>
      </c>
      <c r="F15" s="176" t="s">
        <v>3397</v>
      </c>
    </row>
    <row r="16" spans="1:6">
      <c r="D16" s="199"/>
    </row>
    <row r="17" spans="1:6">
      <c r="A17" s="176" t="s">
        <v>3398</v>
      </c>
      <c r="D17" s="198">
        <f t="shared" ref="D17" si="9">D138</f>
        <v>64350</v>
      </c>
      <c r="F17" s="176" t="s">
        <v>3397</v>
      </c>
    </row>
    <row r="18" spans="1:6" ht="15" thickBot="1">
      <c r="A18" s="176"/>
      <c r="D18" s="198">
        <f>D246</f>
        <v>7865</v>
      </c>
      <c r="F18" s="176" t="s">
        <v>3399</v>
      </c>
    </row>
    <row r="19" spans="1:6" ht="15" thickBot="1">
      <c r="A19" s="176"/>
      <c r="D19" s="201">
        <f>D17+D18</f>
        <v>72215</v>
      </c>
      <c r="F19" s="176"/>
    </row>
    <row r="20" spans="1:6">
      <c r="D20" s="199"/>
    </row>
    <row r="21" spans="1:6">
      <c r="A21" s="176" t="s">
        <v>3400</v>
      </c>
      <c r="D21" s="198">
        <f t="shared" ref="D21" si="10">D139</f>
        <v>64004</v>
      </c>
      <c r="F21" s="176" t="s">
        <v>3397</v>
      </c>
    </row>
    <row r="22" spans="1:6" ht="15" thickBot="1">
      <c r="A22" s="176"/>
      <c r="D22" s="202">
        <f>D309</f>
        <v>8782</v>
      </c>
      <c r="F22" s="176" t="s">
        <v>3395</v>
      </c>
    </row>
    <row r="23" spans="1:6" ht="15" thickBot="1">
      <c r="A23" s="176"/>
      <c r="D23" s="201">
        <f>D21+D22</f>
        <v>72786</v>
      </c>
      <c r="F23" s="176"/>
    </row>
    <row r="24" spans="1:6">
      <c r="D24" s="199"/>
    </row>
    <row r="25" spans="1:6">
      <c r="A25" s="176" t="s">
        <v>3401</v>
      </c>
      <c r="D25" s="198">
        <f t="shared" ref="D25" si="11">D140</f>
        <v>73173</v>
      </c>
      <c r="F25" s="176" t="s">
        <v>3397</v>
      </c>
    </row>
    <row r="26" spans="1:6">
      <c r="D26" s="199"/>
    </row>
    <row r="27" spans="1:6">
      <c r="A27" s="176" t="s">
        <v>3402</v>
      </c>
      <c r="D27" s="198">
        <f t="shared" ref="D27" si="12">D141</f>
        <v>64317</v>
      </c>
      <c r="F27" s="176" t="s">
        <v>3397</v>
      </c>
    </row>
    <row r="28" spans="1:6" ht="15" thickBot="1">
      <c r="A28" s="176"/>
      <c r="D28" s="198">
        <f>D247</f>
        <v>8733</v>
      </c>
      <c r="F28" s="176" t="s">
        <v>3399</v>
      </c>
    </row>
    <row r="29" spans="1:6" ht="15" thickBot="1">
      <c r="A29" s="176"/>
      <c r="D29" s="201">
        <f>D27+D28</f>
        <v>73050</v>
      </c>
      <c r="F29" s="176"/>
    </row>
    <row r="30" spans="1:6">
      <c r="D30" s="199"/>
    </row>
    <row r="31" spans="1:6">
      <c r="A31" s="176" t="s">
        <v>3403</v>
      </c>
      <c r="D31" s="198">
        <f t="shared" ref="D31" si="13">D142</f>
        <v>72519</v>
      </c>
      <c r="F31" s="176" t="s">
        <v>3397</v>
      </c>
    </row>
    <row r="32" spans="1:6">
      <c r="D32" s="199"/>
    </row>
    <row r="33" spans="1:6">
      <c r="A33" s="176" t="s">
        <v>3404</v>
      </c>
      <c r="D33" s="198">
        <f t="shared" ref="D33" si="14">D143</f>
        <v>67657</v>
      </c>
      <c r="F33" s="176" t="s">
        <v>3397</v>
      </c>
    </row>
    <row r="34" spans="1:6" ht="15" thickBot="1">
      <c r="A34" s="176"/>
      <c r="D34" s="198">
        <f>D248</f>
        <v>8544</v>
      </c>
      <c r="F34" s="176" t="s">
        <v>3399</v>
      </c>
    </row>
    <row r="35" spans="1:6" ht="15" thickBot="1">
      <c r="A35" s="176"/>
      <c r="D35" s="201">
        <f>D33+D34</f>
        <v>76201</v>
      </c>
      <c r="F35" s="176"/>
    </row>
    <row r="36" spans="1:6">
      <c r="D36" s="199"/>
    </row>
    <row r="37" spans="1:6">
      <c r="A37" s="176" t="s">
        <v>16847</v>
      </c>
      <c r="D37" s="198">
        <f t="shared" ref="D37" si="15">D144</f>
        <v>47613</v>
      </c>
      <c r="F37" s="176" t="s">
        <v>3397</v>
      </c>
    </row>
    <row r="38" spans="1:6" ht="15" thickBot="1">
      <c r="A38" s="176"/>
      <c r="D38" s="198">
        <f>D209</f>
        <v>29872</v>
      </c>
      <c r="F38" s="176" t="s">
        <v>3405</v>
      </c>
    </row>
    <row r="39" spans="1:6" ht="15" thickBot="1">
      <c r="A39" s="176"/>
      <c r="D39" s="201">
        <f>D37+D38</f>
        <v>77485</v>
      </c>
      <c r="F39" s="176"/>
    </row>
    <row r="40" spans="1:6">
      <c r="D40" s="199"/>
    </row>
    <row r="41" spans="1:6">
      <c r="A41" s="176" t="s">
        <v>3406</v>
      </c>
      <c r="D41" s="198">
        <f t="shared" ref="D41" si="16">D145</f>
        <v>72864</v>
      </c>
      <c r="F41" s="176" t="s">
        <v>3397</v>
      </c>
    </row>
    <row r="42" spans="1:6">
      <c r="D42" s="199"/>
    </row>
    <row r="43" spans="1:6">
      <c r="A43" s="176" t="s">
        <v>3407</v>
      </c>
      <c r="D43" s="199">
        <f>D146</f>
        <v>15778</v>
      </c>
      <c r="F43" s="176" t="s">
        <v>3397</v>
      </c>
    </row>
    <row r="44" spans="1:6" ht="15" thickBot="1">
      <c r="D44" s="202">
        <f>D277</f>
        <v>61677</v>
      </c>
      <c r="F44" s="176" t="s">
        <v>3408</v>
      </c>
    </row>
    <row r="45" spans="1:6" ht="15" thickBot="1">
      <c r="D45" s="201">
        <f>D43+D44</f>
        <v>77455</v>
      </c>
      <c r="F45" s="176"/>
    </row>
    <row r="46" spans="1:6">
      <c r="D46" s="199"/>
    </row>
    <row r="47" spans="1:6">
      <c r="A47" s="176" t="s">
        <v>3409</v>
      </c>
      <c r="D47" s="198">
        <f t="shared" ref="D47" si="17">D174</f>
        <v>72135</v>
      </c>
      <c r="F47" s="176" t="s">
        <v>3410</v>
      </c>
    </row>
    <row r="48" spans="1:6">
      <c r="A48" s="176"/>
      <c r="D48" s="198"/>
      <c r="F48" s="176"/>
    </row>
    <row r="49" spans="1:6">
      <c r="A49" s="176" t="s">
        <v>3411</v>
      </c>
      <c r="D49" s="198">
        <f>D175</f>
        <v>77914</v>
      </c>
      <c r="F49" s="176" t="s">
        <v>3410</v>
      </c>
    </row>
    <row r="50" spans="1:6">
      <c r="A50" s="2"/>
      <c r="D50" s="199"/>
    </row>
    <row r="51" spans="1:6">
      <c r="A51" s="176" t="s">
        <v>3412</v>
      </c>
      <c r="D51" s="198">
        <f>D176</f>
        <v>59982</v>
      </c>
      <c r="F51" s="176" t="s">
        <v>3410</v>
      </c>
    </row>
    <row r="52" spans="1:6" ht="15" thickBot="1">
      <c r="A52" s="176"/>
      <c r="D52" s="202">
        <f>D278</f>
        <v>17604</v>
      </c>
      <c r="F52" s="176" t="s">
        <v>3408</v>
      </c>
    </row>
    <row r="53" spans="1:6" ht="15" thickBot="1">
      <c r="A53" s="176"/>
      <c r="D53" s="201">
        <f>D51+D52</f>
        <v>77586</v>
      </c>
      <c r="F53" s="176"/>
    </row>
    <row r="54" spans="1:6">
      <c r="D54" s="199"/>
    </row>
    <row r="55" spans="1:6">
      <c r="A55" s="176" t="s">
        <v>3413</v>
      </c>
      <c r="D55" s="198">
        <f>D210</f>
        <v>30641</v>
      </c>
      <c r="F55" s="176" t="s">
        <v>3405</v>
      </c>
    </row>
    <row r="56" spans="1:6" ht="15" thickBot="1">
      <c r="A56" s="176"/>
      <c r="D56" s="202">
        <f>D249</f>
        <v>44871</v>
      </c>
      <c r="F56" s="176" t="s">
        <v>3399</v>
      </c>
    </row>
    <row r="57" spans="1:6" ht="15" thickBot="1">
      <c r="A57" s="176"/>
      <c r="D57" s="201">
        <f>D55+D56</f>
        <v>75512</v>
      </c>
      <c r="F57" s="176"/>
    </row>
    <row r="58" spans="1:6">
      <c r="D58" s="199"/>
    </row>
    <row r="59" spans="1:6">
      <c r="A59" s="176" t="s">
        <v>3414</v>
      </c>
      <c r="D59" s="198">
        <f>D211</f>
        <v>71054</v>
      </c>
      <c r="F59" s="176" t="s">
        <v>3405</v>
      </c>
    </row>
    <row r="60" spans="1:6">
      <c r="D60" s="199"/>
    </row>
    <row r="61" spans="1:6">
      <c r="A61" s="176" t="s">
        <v>3160</v>
      </c>
      <c r="D61" s="198">
        <f>D279</f>
        <v>74592</v>
      </c>
      <c r="F61" s="176" t="s">
        <v>3408</v>
      </c>
    </row>
    <row r="62" spans="1:6" ht="15" thickBot="1">
      <c r="A62" s="176"/>
      <c r="D62" s="202">
        <f>WARWICKSHIRE!D30</f>
        <v>2582</v>
      </c>
      <c r="F62" s="176" t="s">
        <v>3152</v>
      </c>
    </row>
    <row r="63" spans="1:6" ht="15" thickBot="1">
      <c r="A63" s="176"/>
      <c r="D63" s="201">
        <f>D61+D62</f>
        <v>77174</v>
      </c>
      <c r="F63" s="176"/>
    </row>
    <row r="64" spans="1:6">
      <c r="A64" s="176"/>
      <c r="D64" s="198"/>
      <c r="F64" s="176"/>
    </row>
    <row r="65" spans="1:6">
      <c r="A65" s="176" t="s">
        <v>3415</v>
      </c>
      <c r="D65" s="198">
        <f t="shared" ref="D65" si="18">D212</f>
        <v>78320</v>
      </c>
      <c r="F65" s="176" t="s">
        <v>3405</v>
      </c>
    </row>
    <row r="66" spans="1:6">
      <c r="D66" s="199"/>
    </row>
    <row r="67" spans="1:6">
      <c r="A67" s="176" t="s">
        <v>3416</v>
      </c>
      <c r="D67" s="198">
        <f t="shared" ref="D67" si="19">D147</f>
        <v>73172</v>
      </c>
      <c r="F67" s="176" t="s">
        <v>3397</v>
      </c>
    </row>
    <row r="68" spans="1:6">
      <c r="D68" s="199"/>
    </row>
    <row r="69" spans="1:6">
      <c r="A69" s="176" t="s">
        <v>3417</v>
      </c>
      <c r="D69" s="198">
        <f>D310</f>
        <v>73172</v>
      </c>
      <c r="F69" s="176" t="s">
        <v>3395</v>
      </c>
    </row>
    <row r="70" spans="1:6">
      <c r="D70" s="199"/>
    </row>
    <row r="71" spans="1:6">
      <c r="A71" s="176" t="s">
        <v>3418</v>
      </c>
      <c r="D71" s="198">
        <f t="shared" ref="D71" si="20">D250</f>
        <v>72780</v>
      </c>
      <c r="F71" s="176" t="s">
        <v>3399</v>
      </c>
    </row>
    <row r="72" spans="1:6">
      <c r="A72" s="176"/>
      <c r="D72" s="198"/>
      <c r="F72" s="176"/>
    </row>
    <row r="73" spans="1:6">
      <c r="A73" s="176" t="s">
        <v>3419</v>
      </c>
      <c r="D73" s="198">
        <f>D311</f>
        <v>28434</v>
      </c>
      <c r="F73" s="176" t="s">
        <v>3395</v>
      </c>
    </row>
    <row r="74" spans="1:6" ht="15" thickBot="1">
      <c r="A74" s="176"/>
      <c r="D74" s="202">
        <f>D340</f>
        <v>48705</v>
      </c>
      <c r="F74" s="176" t="s">
        <v>3420</v>
      </c>
    </row>
    <row r="75" spans="1:6" ht="15" thickBot="1">
      <c r="A75" s="176"/>
      <c r="D75" s="201">
        <f>D73+D74</f>
        <v>77139</v>
      </c>
      <c r="F75" s="176"/>
    </row>
    <row r="76" spans="1:6">
      <c r="D76" s="199"/>
    </row>
    <row r="77" spans="1:6">
      <c r="A77" s="176" t="s">
        <v>3421</v>
      </c>
      <c r="D77" s="198">
        <f t="shared" ref="D77" si="21">D251</f>
        <v>72691</v>
      </c>
      <c r="F77" s="176" t="s">
        <v>3399</v>
      </c>
    </row>
    <row r="78" spans="1:6">
      <c r="D78" s="199"/>
    </row>
    <row r="79" spans="1:6">
      <c r="A79" s="176" t="s">
        <v>3422</v>
      </c>
      <c r="D79" s="198">
        <f t="shared" ref="D79" si="22">D213</f>
        <v>29518</v>
      </c>
      <c r="F79" s="176" t="s">
        <v>3405</v>
      </c>
    </row>
    <row r="80" spans="1:6" ht="15" thickBot="1">
      <c r="A80" s="176"/>
      <c r="D80" s="202">
        <f t="shared" ref="D80" si="23">D341</f>
        <v>44134</v>
      </c>
      <c r="F80" s="176" t="s">
        <v>3420</v>
      </c>
    </row>
    <row r="81" spans="1:10" ht="15" thickBot="1">
      <c r="A81" s="176"/>
      <c r="D81" s="201">
        <f t="shared" ref="D81" si="24">D79+D80</f>
        <v>73652</v>
      </c>
      <c r="F81" s="176"/>
    </row>
    <row r="82" spans="1:10">
      <c r="D82" s="199"/>
    </row>
    <row r="83" spans="1:10">
      <c r="A83" s="176" t="s">
        <v>3423</v>
      </c>
      <c r="D83" s="198">
        <f t="shared" ref="D83" si="25">D342</f>
        <v>77373</v>
      </c>
      <c r="F83" s="176" t="s">
        <v>3420</v>
      </c>
    </row>
    <row r="84" spans="1:10">
      <c r="D84" s="199"/>
    </row>
    <row r="85" spans="1:10">
      <c r="A85" s="176" t="s">
        <v>1041</v>
      </c>
      <c r="D85" s="198">
        <f>D13+D15+D19+D23+D25+D29+D31+D35+D39+D41+D45+D47+D49+D53+D57+D59+D61+D65+D67+D75+D69+D71+D77+D81+D83</f>
        <v>1862769</v>
      </c>
    </row>
    <row r="86" spans="1:10">
      <c r="D86" s="199"/>
    </row>
    <row r="87" spans="1:10">
      <c r="A87" s="176" t="s">
        <v>1042</v>
      </c>
      <c r="D87" s="198">
        <f>MAX(D13,D15,D19,D23,D25,D29,D31,D35,D39,D41,D47,D53,D49,D57,D59,D63,D45,D65,D67,D75,D69,D71,D77,D81,D83)-MIN(D13,D15,D19,D23,D25,D29,D31,D35,D39,D41,D47,D53,D49,D57,D59,D63,D45,D65,D67,D75,D69,D71,D77,D81,D83)</f>
        <v>7266</v>
      </c>
    </row>
    <row r="88" spans="1:10">
      <c r="D88" s="199"/>
    </row>
    <row r="89" spans="1:10">
      <c r="A89" s="203" t="s">
        <v>1045</v>
      </c>
      <c r="D89" s="198">
        <f>STDEVP(D13,D15,D19,D23,D25,D29,D31,D35,D39,D41,D47,D53,D49,D57,D59,D63,D45,D65,D67,D75,D69,D71,D77,D81,D83)</f>
        <v>2367.4021116827616</v>
      </c>
    </row>
    <row r="93" spans="1:10">
      <c r="D93" s="10" t="s">
        <v>285</v>
      </c>
      <c r="E93" s="11"/>
      <c r="F93" s="11" t="s">
        <v>1842</v>
      </c>
    </row>
    <row r="94" spans="1:10">
      <c r="D94" s="197">
        <v>2016</v>
      </c>
      <c r="F94" s="12" t="s">
        <v>286</v>
      </c>
    </row>
    <row r="95" spans="1:10">
      <c r="A95" s="176" t="s">
        <v>3424</v>
      </c>
      <c r="C95" s="176"/>
      <c r="D95" s="198">
        <f t="shared" ref="D95" si="26">SUM(D96:D135)</f>
        <v>686804</v>
      </c>
    </row>
    <row r="96" spans="1:10">
      <c r="A96" s="176" t="s">
        <v>812</v>
      </c>
      <c r="B96" s="176" t="s">
        <v>3425</v>
      </c>
      <c r="C96" s="1" t="s">
        <v>3426</v>
      </c>
      <c r="D96" s="13">
        <v>18285</v>
      </c>
      <c r="F96" s="176" t="s">
        <v>3406</v>
      </c>
      <c r="H96" s="1"/>
      <c r="J96" s="1"/>
    </row>
    <row r="97" spans="1:10">
      <c r="A97" s="176" t="s">
        <v>813</v>
      </c>
      <c r="B97" s="176" t="s">
        <v>3427</v>
      </c>
      <c r="C97" s="1" t="s">
        <v>3428</v>
      </c>
      <c r="D97" s="13">
        <v>17430</v>
      </c>
      <c r="F97" s="176" t="s">
        <v>3404</v>
      </c>
      <c r="H97" s="1"/>
      <c r="J97" s="1"/>
    </row>
    <row r="98" spans="1:10">
      <c r="A98" s="176" t="s">
        <v>814</v>
      </c>
      <c r="B98" s="176" t="s">
        <v>3429</v>
      </c>
      <c r="C98" s="1" t="s">
        <v>3430</v>
      </c>
      <c r="D98" s="13">
        <v>16768</v>
      </c>
      <c r="F98" s="176" t="s">
        <v>16847</v>
      </c>
      <c r="H98" s="1"/>
      <c r="J98" s="1"/>
    </row>
    <row r="99" spans="1:10">
      <c r="A99" s="176" t="s">
        <v>815</v>
      </c>
      <c r="B99" s="176" t="s">
        <v>3431</v>
      </c>
      <c r="C99" s="1" t="s">
        <v>3432</v>
      </c>
      <c r="D99" s="13">
        <v>18277</v>
      </c>
      <c r="F99" s="176" t="s">
        <v>3396</v>
      </c>
      <c r="H99" s="1"/>
      <c r="J99" s="1"/>
    </row>
    <row r="100" spans="1:10">
      <c r="A100" s="176" t="s">
        <v>816</v>
      </c>
      <c r="B100" s="176" t="s">
        <v>3433</v>
      </c>
      <c r="C100" s="1" t="s">
        <v>3434</v>
      </c>
      <c r="D100" s="13">
        <v>19100</v>
      </c>
      <c r="F100" s="176" t="s">
        <v>3401</v>
      </c>
      <c r="H100" s="1"/>
      <c r="J100" s="1"/>
    </row>
    <row r="101" spans="1:10">
      <c r="A101" s="176" t="s">
        <v>826</v>
      </c>
      <c r="B101" s="176" t="s">
        <v>3435</v>
      </c>
      <c r="C101" s="1" t="s">
        <v>3436</v>
      </c>
      <c r="D101" s="13">
        <v>18449</v>
      </c>
      <c r="F101" s="176" t="s">
        <v>3403</v>
      </c>
      <c r="H101" s="1"/>
      <c r="J101" s="1"/>
    </row>
    <row r="102" spans="1:10">
      <c r="A102" s="176" t="s">
        <v>827</v>
      </c>
      <c r="B102" s="176" t="s">
        <v>3437</v>
      </c>
      <c r="C102" s="1" t="s">
        <v>3438</v>
      </c>
      <c r="D102" s="13">
        <v>17728</v>
      </c>
      <c r="F102" s="176" t="s">
        <v>3396</v>
      </c>
      <c r="H102" s="1"/>
      <c r="J102" s="1"/>
    </row>
    <row r="103" spans="1:10">
      <c r="A103" s="176" t="s">
        <v>828</v>
      </c>
      <c r="B103" s="176" t="s">
        <v>3439</v>
      </c>
      <c r="C103" s="1" t="s">
        <v>3440</v>
      </c>
      <c r="D103" s="13">
        <v>14069</v>
      </c>
      <c r="F103" s="176" t="s">
        <v>3398</v>
      </c>
      <c r="H103" s="1"/>
      <c r="J103" s="1"/>
    </row>
    <row r="104" spans="1:10">
      <c r="A104" s="176" t="s">
        <v>829</v>
      </c>
      <c r="B104" s="176" t="s">
        <v>3441</v>
      </c>
      <c r="C104" s="1" t="s">
        <v>3442</v>
      </c>
      <c r="D104" s="13">
        <v>15478</v>
      </c>
      <c r="F104" s="176" t="s">
        <v>3400</v>
      </c>
      <c r="H104" s="1"/>
      <c r="J104" s="1"/>
    </row>
    <row r="105" spans="1:10">
      <c r="A105" s="176" t="s">
        <v>830</v>
      </c>
      <c r="B105" s="176" t="s">
        <v>3443</v>
      </c>
      <c r="C105" s="1" t="s">
        <v>3444</v>
      </c>
      <c r="D105" s="13">
        <v>18731</v>
      </c>
      <c r="F105" s="176" t="s">
        <v>3406</v>
      </c>
      <c r="H105" s="1"/>
      <c r="J105" s="1"/>
    </row>
    <row r="106" spans="1:10">
      <c r="A106" s="176" t="s">
        <v>831</v>
      </c>
      <c r="B106" s="176" t="s">
        <v>3445</v>
      </c>
      <c r="C106" s="1" t="s">
        <v>3446</v>
      </c>
      <c r="D106" s="13">
        <v>17301</v>
      </c>
      <c r="F106" s="176" t="s">
        <v>3404</v>
      </c>
      <c r="H106" s="1"/>
      <c r="J106" s="1"/>
    </row>
    <row r="107" spans="1:10">
      <c r="A107" s="176" t="s">
        <v>832</v>
      </c>
      <c r="B107" s="176" t="s">
        <v>3447</v>
      </c>
      <c r="C107" s="1" t="s">
        <v>3448</v>
      </c>
      <c r="D107" s="13">
        <v>15548</v>
      </c>
      <c r="F107" s="176" t="s">
        <v>3398</v>
      </c>
      <c r="H107" s="1"/>
      <c r="J107" s="1"/>
    </row>
    <row r="108" spans="1:10">
      <c r="A108" s="176" t="s">
        <v>833</v>
      </c>
      <c r="B108" s="176" t="s">
        <v>3449</v>
      </c>
      <c r="C108" s="1" t="s">
        <v>3450</v>
      </c>
      <c r="D108" s="13">
        <v>17292</v>
      </c>
      <c r="F108" s="176" t="s">
        <v>3401</v>
      </c>
      <c r="H108" s="1"/>
      <c r="J108" s="1"/>
    </row>
    <row r="109" spans="1:10">
      <c r="A109" s="176" t="s">
        <v>834</v>
      </c>
      <c r="B109" s="176" t="s">
        <v>3451</v>
      </c>
      <c r="C109" s="1" t="s">
        <v>3452</v>
      </c>
      <c r="D109" s="13">
        <v>16097</v>
      </c>
      <c r="F109" s="176" t="s">
        <v>3396</v>
      </c>
      <c r="H109" s="1"/>
      <c r="J109" s="1"/>
    </row>
    <row r="110" spans="1:10">
      <c r="A110" s="176" t="s">
        <v>835</v>
      </c>
      <c r="B110" s="176" t="s">
        <v>3453</v>
      </c>
      <c r="C110" s="1" t="s">
        <v>3454</v>
      </c>
      <c r="D110" s="13">
        <v>16007</v>
      </c>
      <c r="F110" s="176" t="s">
        <v>3400</v>
      </c>
      <c r="H110" s="1"/>
      <c r="J110" s="1"/>
    </row>
    <row r="111" spans="1:10">
      <c r="A111" s="176" t="s">
        <v>836</v>
      </c>
      <c r="B111" s="176" t="s">
        <v>3455</v>
      </c>
      <c r="C111" s="1" t="s">
        <v>3456</v>
      </c>
      <c r="D111" s="13">
        <v>15042</v>
      </c>
      <c r="F111" s="176" t="s">
        <v>3402</v>
      </c>
      <c r="H111" s="1"/>
      <c r="J111" s="1"/>
    </row>
    <row r="112" spans="1:10">
      <c r="A112" s="176" t="s">
        <v>837</v>
      </c>
      <c r="B112" s="176" t="s">
        <v>999</v>
      </c>
      <c r="C112" s="1" t="s">
        <v>3457</v>
      </c>
      <c r="D112" s="13">
        <v>17839</v>
      </c>
      <c r="F112" s="176" t="s">
        <v>3403</v>
      </c>
      <c r="H112" s="1"/>
      <c r="J112" s="1"/>
    </row>
    <row r="113" spans="1:10">
      <c r="A113" s="176" t="s">
        <v>838</v>
      </c>
      <c r="B113" s="176" t="s">
        <v>3458</v>
      </c>
      <c r="C113" s="1" t="s">
        <v>3459</v>
      </c>
      <c r="D113" s="13">
        <v>17558</v>
      </c>
      <c r="F113" s="176" t="s">
        <v>3404</v>
      </c>
      <c r="H113" s="1"/>
      <c r="J113" s="1"/>
    </row>
    <row r="114" spans="1:10">
      <c r="A114" s="176" t="s">
        <v>840</v>
      </c>
      <c r="B114" s="176" t="s">
        <v>3460</v>
      </c>
      <c r="C114" s="1" t="s">
        <v>3461</v>
      </c>
      <c r="D114" s="13">
        <v>17629</v>
      </c>
      <c r="F114" s="176" t="s">
        <v>3403</v>
      </c>
      <c r="H114" s="1"/>
      <c r="J114" s="1"/>
    </row>
    <row r="115" spans="1:10">
      <c r="A115" s="176" t="s">
        <v>841</v>
      </c>
      <c r="B115" s="176" t="s">
        <v>3462</v>
      </c>
      <c r="C115" s="1" t="s">
        <v>3463</v>
      </c>
      <c r="D115" s="13">
        <v>17731</v>
      </c>
      <c r="F115" s="176" t="s">
        <v>3402</v>
      </c>
      <c r="H115" s="1"/>
      <c r="J115" s="1"/>
    </row>
    <row r="116" spans="1:10">
      <c r="A116" s="176" t="s">
        <v>878</v>
      </c>
      <c r="B116" s="176" t="s">
        <v>3464</v>
      </c>
      <c r="C116" s="1" t="s">
        <v>3465</v>
      </c>
      <c r="D116" s="13">
        <v>18602</v>
      </c>
      <c r="F116" s="176" t="s">
        <v>3403</v>
      </c>
      <c r="H116" s="1"/>
      <c r="J116" s="1"/>
    </row>
    <row r="117" spans="1:10">
      <c r="A117" s="176" t="s">
        <v>879</v>
      </c>
      <c r="B117" s="176" t="s">
        <v>3466</v>
      </c>
      <c r="C117" s="1" t="s">
        <v>3467</v>
      </c>
      <c r="D117" s="13">
        <v>17483</v>
      </c>
      <c r="F117" s="176" t="s">
        <v>3400</v>
      </c>
      <c r="H117" s="1"/>
      <c r="J117" s="1"/>
    </row>
    <row r="118" spans="1:10">
      <c r="A118" s="176" t="s">
        <v>880</v>
      </c>
      <c r="B118" s="176" t="s">
        <v>3468</v>
      </c>
      <c r="C118" s="1" t="s">
        <v>3469</v>
      </c>
      <c r="D118" s="13">
        <v>15368</v>
      </c>
      <c r="F118" s="176" t="s">
        <v>3404</v>
      </c>
      <c r="H118" s="1"/>
      <c r="J118" s="1"/>
    </row>
    <row r="119" spans="1:10">
      <c r="A119" s="176" t="s">
        <v>721</v>
      </c>
      <c r="B119" s="176" t="s">
        <v>3309</v>
      </c>
      <c r="C119" s="1" t="s">
        <v>3470</v>
      </c>
      <c r="D119" s="13">
        <v>16410</v>
      </c>
      <c r="F119" s="176" t="s">
        <v>3398</v>
      </c>
      <c r="H119" s="1"/>
      <c r="J119" s="1"/>
    </row>
    <row r="120" spans="1:10">
      <c r="A120" s="176" t="s">
        <v>722</v>
      </c>
      <c r="B120" s="176" t="s">
        <v>3471</v>
      </c>
      <c r="C120" s="1" t="s">
        <v>3472</v>
      </c>
      <c r="D120" s="13">
        <v>14006</v>
      </c>
      <c r="F120" s="176" t="s">
        <v>16847</v>
      </c>
      <c r="H120" s="1"/>
      <c r="J120" s="1"/>
    </row>
    <row r="121" spans="1:10">
      <c r="A121" s="176" t="s">
        <v>723</v>
      </c>
      <c r="B121" s="176" t="s">
        <v>3473</v>
      </c>
      <c r="C121" s="1" t="s">
        <v>3474</v>
      </c>
      <c r="D121" s="13">
        <v>17647</v>
      </c>
      <c r="F121" s="176" t="s">
        <v>3401</v>
      </c>
      <c r="H121" s="1"/>
      <c r="J121" s="1"/>
    </row>
    <row r="122" spans="1:10">
      <c r="A122" s="176" t="s">
        <v>733</v>
      </c>
      <c r="B122" s="176" t="s">
        <v>3475</v>
      </c>
      <c r="C122" s="1" t="s">
        <v>3476</v>
      </c>
      <c r="D122" s="13">
        <v>15778</v>
      </c>
      <c r="F122" s="176" t="s">
        <v>3407</v>
      </c>
      <c r="H122" s="1"/>
      <c r="J122" s="1"/>
    </row>
    <row r="123" spans="1:10">
      <c r="A123" s="176" t="s">
        <v>734</v>
      </c>
      <c r="B123" s="176" t="s">
        <v>3477</v>
      </c>
      <c r="C123" s="1" t="s">
        <v>3478</v>
      </c>
      <c r="D123" s="13">
        <v>15513</v>
      </c>
      <c r="F123" s="176" t="s">
        <v>3402</v>
      </c>
      <c r="H123" s="1"/>
      <c r="J123" s="1"/>
    </row>
    <row r="124" spans="1:10">
      <c r="A124" s="176" t="s">
        <v>735</v>
      </c>
      <c r="B124" s="176" t="s">
        <v>3479</v>
      </c>
      <c r="C124" s="1" t="s">
        <v>3480</v>
      </c>
      <c r="D124" s="13">
        <v>18756</v>
      </c>
      <c r="F124" s="176" t="s">
        <v>3406</v>
      </c>
      <c r="H124" s="1"/>
      <c r="J124" s="1"/>
    </row>
    <row r="125" spans="1:10">
      <c r="A125" s="176" t="s">
        <v>736</v>
      </c>
      <c r="B125" s="176" t="s">
        <v>3481</v>
      </c>
      <c r="C125" s="1" t="s">
        <v>3482</v>
      </c>
      <c r="D125" s="13">
        <v>18323</v>
      </c>
      <c r="F125" s="176" t="s">
        <v>3398</v>
      </c>
      <c r="H125" s="1"/>
      <c r="J125" s="1"/>
    </row>
    <row r="126" spans="1:10">
      <c r="A126" s="176" t="s">
        <v>931</v>
      </c>
      <c r="B126" s="176" t="s">
        <v>3483</v>
      </c>
      <c r="C126" s="1" t="s">
        <v>3484</v>
      </c>
      <c r="D126" s="13">
        <v>19255</v>
      </c>
      <c r="F126" s="176" t="s">
        <v>3396</v>
      </c>
      <c r="H126" s="1"/>
      <c r="J126" s="1"/>
    </row>
    <row r="127" spans="1:10">
      <c r="A127" s="176" t="s">
        <v>932</v>
      </c>
      <c r="B127" s="176" t="s">
        <v>3485</v>
      </c>
      <c r="C127" s="1" t="s">
        <v>3486</v>
      </c>
      <c r="D127" s="13">
        <v>17092</v>
      </c>
      <c r="F127" s="176" t="s">
        <v>3406</v>
      </c>
      <c r="H127" s="1"/>
      <c r="J127" s="1"/>
    </row>
    <row r="128" spans="1:10">
      <c r="A128" s="176" t="s">
        <v>933</v>
      </c>
      <c r="B128" s="176" t="s">
        <v>3487</v>
      </c>
      <c r="C128" s="1" t="s">
        <v>3488</v>
      </c>
      <c r="D128" s="13">
        <v>15036</v>
      </c>
      <c r="F128" s="176" t="s">
        <v>3400</v>
      </c>
      <c r="H128" s="1"/>
      <c r="J128" s="1"/>
    </row>
    <row r="129" spans="1:10">
      <c r="A129" s="176" t="s">
        <v>934</v>
      </c>
      <c r="B129" s="176" t="s">
        <v>3489</v>
      </c>
      <c r="C129" s="1" t="s">
        <v>3490</v>
      </c>
      <c r="D129" s="13">
        <v>18833</v>
      </c>
      <c r="F129" s="176" t="s">
        <v>3416</v>
      </c>
      <c r="H129" s="1"/>
      <c r="J129" s="1"/>
    </row>
    <row r="130" spans="1:10">
      <c r="A130" s="176" t="s">
        <v>376</v>
      </c>
      <c r="B130" s="176" t="s">
        <v>3491</v>
      </c>
      <c r="C130" s="1" t="s">
        <v>3492</v>
      </c>
      <c r="D130" s="13">
        <v>17195</v>
      </c>
      <c r="F130" s="176" t="s">
        <v>3416</v>
      </c>
      <c r="H130" s="1"/>
      <c r="J130" s="1"/>
    </row>
    <row r="131" spans="1:10">
      <c r="A131" s="176" t="s">
        <v>377</v>
      </c>
      <c r="B131" s="176" t="s">
        <v>3493</v>
      </c>
      <c r="C131" s="1" t="s">
        <v>3494</v>
      </c>
      <c r="D131" s="13">
        <v>19140</v>
      </c>
      <c r="F131" s="176" t="s">
        <v>3416</v>
      </c>
      <c r="H131" s="1"/>
      <c r="J131" s="1"/>
    </row>
    <row r="132" spans="1:10">
      <c r="A132" s="176" t="s">
        <v>338</v>
      </c>
      <c r="B132" s="176" t="s">
        <v>3495</v>
      </c>
      <c r="C132" s="1" t="s">
        <v>3496</v>
      </c>
      <c r="D132" s="13">
        <v>18004</v>
      </c>
      <c r="F132" s="176" t="s">
        <v>3416</v>
      </c>
      <c r="H132" s="1"/>
      <c r="J132" s="1"/>
    </row>
    <row r="133" spans="1:10">
      <c r="A133" s="176" t="s">
        <v>339</v>
      </c>
      <c r="B133" s="176" t="s">
        <v>3497</v>
      </c>
      <c r="C133" s="1" t="s">
        <v>3498</v>
      </c>
      <c r="D133" s="13">
        <v>16031</v>
      </c>
      <c r="F133" s="176" t="s">
        <v>3402</v>
      </c>
      <c r="H133" s="1"/>
      <c r="J133" s="1"/>
    </row>
    <row r="134" spans="1:10">
      <c r="A134" s="176" t="s">
        <v>340</v>
      </c>
      <c r="B134" s="176" t="s">
        <v>3499</v>
      </c>
      <c r="C134" s="1" t="s">
        <v>3500</v>
      </c>
      <c r="D134" s="13">
        <v>19134</v>
      </c>
      <c r="F134" s="176" t="s">
        <v>3401</v>
      </c>
      <c r="H134" s="1"/>
      <c r="J134" s="1"/>
    </row>
    <row r="135" spans="1:10">
      <c r="A135" s="204">
        <v>40</v>
      </c>
      <c r="B135" s="176" t="s">
        <v>3501</v>
      </c>
      <c r="C135" s="1" t="s">
        <v>3502</v>
      </c>
      <c r="D135" s="13">
        <v>16839</v>
      </c>
      <c r="F135" s="176" t="s">
        <v>16847</v>
      </c>
      <c r="H135" s="1"/>
      <c r="J135" s="1"/>
    </row>
    <row r="136" spans="1:10">
      <c r="D136" s="199"/>
    </row>
    <row r="137" spans="1:10">
      <c r="A137" s="176" t="s">
        <v>3396</v>
      </c>
      <c r="D137" s="198">
        <f>D99+D102+D109+D126</f>
        <v>71357</v>
      </c>
    </row>
    <row r="138" spans="1:10">
      <c r="A138" s="176" t="s">
        <v>3503</v>
      </c>
      <c r="D138" s="198">
        <f>D103+D107+D119+D125</f>
        <v>64350</v>
      </c>
    </row>
    <row r="139" spans="1:10">
      <c r="A139" s="176" t="s">
        <v>3504</v>
      </c>
      <c r="D139" s="198">
        <f>D104+D110+D117+D128</f>
        <v>64004</v>
      </c>
    </row>
    <row r="140" spans="1:10">
      <c r="A140" s="176" t="s">
        <v>3401</v>
      </c>
      <c r="D140" s="198">
        <f>D100+D108+D121+D134</f>
        <v>73173</v>
      </c>
    </row>
    <row r="141" spans="1:10">
      <c r="A141" s="176" t="s">
        <v>3505</v>
      </c>
      <c r="D141" s="198">
        <f>D111+D115+D123+D133</f>
        <v>64317</v>
      </c>
    </row>
    <row r="142" spans="1:10">
      <c r="A142" s="176" t="s">
        <v>3403</v>
      </c>
      <c r="D142" s="198">
        <f>D101+D112+D114+D116</f>
        <v>72519</v>
      </c>
    </row>
    <row r="143" spans="1:10">
      <c r="A143" s="176" t="s">
        <v>3506</v>
      </c>
      <c r="D143" s="198">
        <f>D97+D106+D113+D118</f>
        <v>67657</v>
      </c>
    </row>
    <row r="144" spans="1:10">
      <c r="A144" s="176" t="s">
        <v>16846</v>
      </c>
      <c r="D144" s="198">
        <f>D98+D120+D135</f>
        <v>47613</v>
      </c>
    </row>
    <row r="145" spans="1:10">
      <c r="A145" s="176" t="s">
        <v>3406</v>
      </c>
      <c r="D145" s="198">
        <f>D96+D105+D124+D127</f>
        <v>72864</v>
      </c>
    </row>
    <row r="146" spans="1:10">
      <c r="A146" s="176" t="s">
        <v>3507</v>
      </c>
      <c r="D146" s="198">
        <f>D122</f>
        <v>15778</v>
      </c>
    </row>
    <row r="147" spans="1:10">
      <c r="A147" s="176" t="s">
        <v>3416</v>
      </c>
      <c r="D147" s="198">
        <f>SUM(D129:D132)</f>
        <v>73172</v>
      </c>
    </row>
    <row r="149" spans="1:10">
      <c r="A149" s="196" t="s">
        <v>3508</v>
      </c>
    </row>
    <row r="152" spans="1:10">
      <c r="D152" s="10" t="s">
        <v>285</v>
      </c>
      <c r="E152" s="11"/>
      <c r="F152" s="11" t="s">
        <v>1842</v>
      </c>
    </row>
    <row r="153" spans="1:10">
      <c r="D153" s="197">
        <v>2016</v>
      </c>
      <c r="F153" s="12" t="s">
        <v>286</v>
      </c>
    </row>
    <row r="154" spans="1:10">
      <c r="A154" s="176" t="s">
        <v>3509</v>
      </c>
      <c r="D154" s="198">
        <f t="shared" ref="D154" si="27">SUM(D155:D172)</f>
        <v>210031</v>
      </c>
    </row>
    <row r="155" spans="1:10">
      <c r="A155" s="176" t="s">
        <v>812</v>
      </c>
      <c r="B155" s="176" t="s">
        <v>3510</v>
      </c>
      <c r="C155" s="1" t="s">
        <v>3511</v>
      </c>
      <c r="D155" s="7">
        <v>12376</v>
      </c>
      <c r="F155" s="176" t="s">
        <v>3412</v>
      </c>
      <c r="H155" s="1"/>
      <c r="J155" s="1"/>
    </row>
    <row r="156" spans="1:10">
      <c r="A156" s="176" t="s">
        <v>813</v>
      </c>
      <c r="B156" s="176" t="s">
        <v>3512</v>
      </c>
      <c r="C156" s="1" t="s">
        <v>3513</v>
      </c>
      <c r="D156" s="7">
        <v>11588</v>
      </c>
      <c r="F156" s="176" t="s">
        <v>3411</v>
      </c>
      <c r="H156" s="1"/>
      <c r="J156" s="1"/>
    </row>
    <row r="157" spans="1:10">
      <c r="A157" s="176" t="s">
        <v>814</v>
      </c>
      <c r="B157" s="176" t="s">
        <v>3514</v>
      </c>
      <c r="C157" s="1" t="s">
        <v>3515</v>
      </c>
      <c r="D157" s="7">
        <v>11308</v>
      </c>
      <c r="F157" s="176" t="s">
        <v>3411</v>
      </c>
      <c r="H157" s="1"/>
      <c r="J157" s="1"/>
    </row>
    <row r="158" spans="1:10">
      <c r="A158" s="176" t="s">
        <v>815</v>
      </c>
      <c r="B158" s="176" t="s">
        <v>3516</v>
      </c>
      <c r="C158" s="1" t="s">
        <v>3517</v>
      </c>
      <c r="D158" s="7">
        <v>11604</v>
      </c>
      <c r="F158" s="176" t="s">
        <v>3411</v>
      </c>
      <c r="H158" s="1"/>
      <c r="J158" s="1"/>
    </row>
    <row r="159" spans="1:10">
      <c r="A159" s="176" t="s">
        <v>816</v>
      </c>
      <c r="B159" s="176" t="s">
        <v>3518</v>
      </c>
      <c r="C159" s="1" t="s">
        <v>3519</v>
      </c>
      <c r="D159" s="7">
        <v>10419</v>
      </c>
      <c r="F159" s="176" t="s">
        <v>3409</v>
      </c>
      <c r="H159" s="1"/>
      <c r="J159" s="1"/>
    </row>
    <row r="160" spans="1:10">
      <c r="A160" s="176" t="s">
        <v>826</v>
      </c>
      <c r="B160" s="176" t="s">
        <v>3520</v>
      </c>
      <c r="C160" s="1" t="s">
        <v>3521</v>
      </c>
      <c r="D160" s="7">
        <v>12310</v>
      </c>
      <c r="F160" s="176" t="s">
        <v>3409</v>
      </c>
      <c r="H160" s="1"/>
      <c r="J160" s="1"/>
    </row>
    <row r="161" spans="1:10">
      <c r="A161" s="176" t="s">
        <v>827</v>
      </c>
      <c r="B161" s="176" t="s">
        <v>3522</v>
      </c>
      <c r="C161" s="1" t="s">
        <v>3523</v>
      </c>
      <c r="D161" s="7">
        <v>11536</v>
      </c>
      <c r="F161" s="176" t="s">
        <v>3412</v>
      </c>
      <c r="H161" s="1"/>
      <c r="J161" s="1"/>
    </row>
    <row r="162" spans="1:10">
      <c r="A162" s="176" t="s">
        <v>828</v>
      </c>
      <c r="B162" s="176" t="s">
        <v>3524</v>
      </c>
      <c r="C162" s="1" t="s">
        <v>3525</v>
      </c>
      <c r="D162" s="7">
        <v>12538</v>
      </c>
      <c r="F162" s="176" t="s">
        <v>3409</v>
      </c>
      <c r="H162" s="1"/>
      <c r="J162" s="1"/>
    </row>
    <row r="163" spans="1:10">
      <c r="A163" s="176" t="s">
        <v>829</v>
      </c>
      <c r="B163" s="176" t="s">
        <v>3526</v>
      </c>
      <c r="C163" s="1" t="s">
        <v>3527</v>
      </c>
      <c r="D163" s="7">
        <v>13029</v>
      </c>
      <c r="F163" s="176" t="s">
        <v>3409</v>
      </c>
      <c r="H163" s="1"/>
      <c r="J163" s="1"/>
    </row>
    <row r="164" spans="1:10">
      <c r="A164" s="176" t="s">
        <v>830</v>
      </c>
      <c r="B164" s="176" t="s">
        <v>3528</v>
      </c>
      <c r="C164" s="1" t="s">
        <v>3529</v>
      </c>
      <c r="D164" s="7">
        <v>11633</v>
      </c>
      <c r="F164" s="176" t="s">
        <v>3411</v>
      </c>
      <c r="H164" s="1"/>
      <c r="J164" s="1"/>
    </row>
    <row r="165" spans="1:10">
      <c r="A165" s="176" t="s">
        <v>831</v>
      </c>
      <c r="B165" s="176" t="s">
        <v>1074</v>
      </c>
      <c r="C165" s="1" t="s">
        <v>3530</v>
      </c>
      <c r="D165" s="8">
        <v>9766</v>
      </c>
      <c r="F165" s="176" t="s">
        <v>3531</v>
      </c>
      <c r="H165" s="1"/>
      <c r="J165" s="1"/>
    </row>
    <row r="166" spans="1:10">
      <c r="A166" s="176" t="s">
        <v>832</v>
      </c>
      <c r="B166" s="176" t="s">
        <v>3532</v>
      </c>
      <c r="C166" s="1" t="s">
        <v>3533</v>
      </c>
      <c r="D166" s="7">
        <v>11136</v>
      </c>
      <c r="F166" s="176" t="s">
        <v>3411</v>
      </c>
      <c r="H166" s="1"/>
      <c r="J166" s="1"/>
    </row>
    <row r="167" spans="1:10">
      <c r="A167" s="176" t="s">
        <v>833</v>
      </c>
      <c r="B167" s="176" t="s">
        <v>3534</v>
      </c>
      <c r="C167" s="1" t="s">
        <v>3535</v>
      </c>
      <c r="D167" s="7">
        <v>11520</v>
      </c>
      <c r="F167" s="176" t="s">
        <v>3409</v>
      </c>
      <c r="H167" s="1"/>
      <c r="J167" s="1"/>
    </row>
    <row r="168" spans="1:10">
      <c r="A168" s="176" t="s">
        <v>834</v>
      </c>
      <c r="B168" s="176" t="s">
        <v>3536</v>
      </c>
      <c r="C168" s="1" t="s">
        <v>3537</v>
      </c>
      <c r="D168" s="8">
        <v>10670</v>
      </c>
      <c r="F168" s="176" t="s">
        <v>3412</v>
      </c>
      <c r="H168" s="1"/>
      <c r="J168" s="1"/>
    </row>
    <row r="169" spans="1:10">
      <c r="A169" s="176" t="s">
        <v>835</v>
      </c>
      <c r="B169" s="176" t="s">
        <v>3538</v>
      </c>
      <c r="C169" s="1" t="s">
        <v>3539</v>
      </c>
      <c r="D169" s="8">
        <v>12244</v>
      </c>
      <c r="F169" s="176" t="s">
        <v>3412</v>
      </c>
      <c r="H169" s="1"/>
      <c r="J169" s="1"/>
    </row>
    <row r="170" spans="1:10">
      <c r="A170" s="176" t="s">
        <v>836</v>
      </c>
      <c r="B170" s="176" t="s">
        <v>3540</v>
      </c>
      <c r="C170" s="1" t="s">
        <v>3541</v>
      </c>
      <c r="D170" s="7">
        <v>10879</v>
      </c>
      <c r="F170" s="176" t="s">
        <v>3411</v>
      </c>
      <c r="H170" s="1"/>
      <c r="J170" s="1"/>
    </row>
    <row r="171" spans="1:10">
      <c r="A171" s="176" t="s">
        <v>837</v>
      </c>
      <c r="B171" s="176" t="s">
        <v>3542</v>
      </c>
      <c r="C171" s="1" t="s">
        <v>3543</v>
      </c>
      <c r="D171" s="7">
        <v>13156</v>
      </c>
      <c r="F171" s="176" t="s">
        <v>3412</v>
      </c>
      <c r="H171" s="1"/>
      <c r="J171" s="1"/>
    </row>
    <row r="172" spans="1:10">
      <c r="A172" s="176" t="s">
        <v>838</v>
      </c>
      <c r="B172" s="176" t="s">
        <v>3544</v>
      </c>
      <c r="C172" s="1" t="s">
        <v>3545</v>
      </c>
      <c r="D172" s="7">
        <v>12319</v>
      </c>
      <c r="F172" s="176" t="s">
        <v>3409</v>
      </c>
      <c r="H172" s="1"/>
      <c r="J172" s="1"/>
    </row>
    <row r="173" spans="1:10">
      <c r="D173" s="199"/>
    </row>
    <row r="174" spans="1:10">
      <c r="A174" s="176" t="s">
        <v>3409</v>
      </c>
      <c r="D174" s="198">
        <f t="shared" ref="D174" si="28">D159+D160+D162+D163+D167+D172</f>
        <v>72135</v>
      </c>
    </row>
    <row r="175" spans="1:10">
      <c r="A175" s="176" t="s">
        <v>3411</v>
      </c>
      <c r="D175" s="198">
        <f>SUM(D156:D158)+SUM(D164:D166)+D170</f>
        <v>77914</v>
      </c>
    </row>
    <row r="176" spans="1:10">
      <c r="A176" s="176" t="s">
        <v>3546</v>
      </c>
      <c r="D176" s="198">
        <f>D155+D161+D168+D169+D171</f>
        <v>59982</v>
      </c>
    </row>
    <row r="177" spans="1:10">
      <c r="A177" s="176"/>
      <c r="D177" s="198"/>
    </row>
    <row r="178" spans="1:10">
      <c r="A178" s="176" t="s">
        <v>3547</v>
      </c>
      <c r="D178" s="198"/>
    </row>
    <row r="179" spans="1:10">
      <c r="A179" s="176"/>
      <c r="B179" s="176"/>
      <c r="D179" s="205"/>
    </row>
    <row r="180" spans="1:10">
      <c r="A180" s="176"/>
      <c r="B180" s="176"/>
      <c r="D180" s="205"/>
    </row>
    <row r="181" spans="1:10">
      <c r="D181" s="10" t="s">
        <v>285</v>
      </c>
      <c r="E181" s="11"/>
      <c r="F181" s="11" t="s">
        <v>1842</v>
      </c>
    </row>
    <row r="182" spans="1:10">
      <c r="D182" s="197">
        <v>2016</v>
      </c>
      <c r="F182" s="12" t="s">
        <v>286</v>
      </c>
    </row>
    <row r="183" spans="1:10">
      <c r="A183" s="176" t="s">
        <v>3548</v>
      </c>
      <c r="D183" s="198">
        <f t="shared" ref="D183" si="29">SUM(D184:D207)</f>
        <v>239405</v>
      </c>
    </row>
    <row r="184" spans="1:10">
      <c r="A184" s="176" t="s">
        <v>812</v>
      </c>
      <c r="B184" s="176" t="s">
        <v>3549</v>
      </c>
      <c r="C184" s="1" t="s">
        <v>3550</v>
      </c>
      <c r="D184" s="8">
        <v>10445</v>
      </c>
      <c r="F184" s="176" t="s">
        <v>3415</v>
      </c>
      <c r="H184" s="1"/>
      <c r="J184" s="1"/>
    </row>
    <row r="185" spans="1:10">
      <c r="A185" s="176" t="s">
        <v>813</v>
      </c>
      <c r="B185" s="176" t="s">
        <v>3551</v>
      </c>
      <c r="C185" s="1" t="s">
        <v>3552</v>
      </c>
      <c r="D185" s="7">
        <v>10494</v>
      </c>
      <c r="F185" s="176" t="s">
        <v>16847</v>
      </c>
      <c r="H185" s="1"/>
      <c r="J185" s="1"/>
    </row>
    <row r="186" spans="1:10">
      <c r="A186" s="176" t="s">
        <v>814</v>
      </c>
      <c r="B186" s="176" t="s">
        <v>3553</v>
      </c>
      <c r="C186" s="1" t="s">
        <v>3554</v>
      </c>
      <c r="D186" s="7">
        <v>9845</v>
      </c>
      <c r="F186" s="176" t="s">
        <v>3415</v>
      </c>
      <c r="H186" s="1"/>
      <c r="J186" s="1"/>
    </row>
    <row r="187" spans="1:10">
      <c r="A187" s="176" t="s">
        <v>815</v>
      </c>
      <c r="B187" s="176" t="s">
        <v>3555</v>
      </c>
      <c r="C187" s="1" t="s">
        <v>3556</v>
      </c>
      <c r="D187" s="7">
        <v>9585</v>
      </c>
      <c r="F187" s="176" t="s">
        <v>3414</v>
      </c>
      <c r="H187" s="1"/>
      <c r="J187" s="1"/>
    </row>
    <row r="188" spans="1:10">
      <c r="A188" s="176" t="s">
        <v>816</v>
      </c>
      <c r="B188" s="176" t="s">
        <v>3557</v>
      </c>
      <c r="C188" s="1" t="s">
        <v>3558</v>
      </c>
      <c r="D188" s="7">
        <v>11018</v>
      </c>
      <c r="F188" s="176" t="s">
        <v>3413</v>
      </c>
      <c r="H188" s="1"/>
      <c r="J188" s="1"/>
    </row>
    <row r="189" spans="1:10">
      <c r="A189" s="176" t="s">
        <v>826</v>
      </c>
      <c r="B189" s="176" t="s">
        <v>3559</v>
      </c>
      <c r="C189" s="1" t="s">
        <v>3560</v>
      </c>
      <c r="D189" s="8">
        <v>9607</v>
      </c>
      <c r="F189" s="176" t="s">
        <v>3422</v>
      </c>
      <c r="H189" s="1"/>
      <c r="J189" s="1"/>
    </row>
    <row r="190" spans="1:10">
      <c r="A190" s="176" t="s">
        <v>827</v>
      </c>
      <c r="B190" s="176" t="s">
        <v>3561</v>
      </c>
      <c r="C190" s="1" t="s">
        <v>3562</v>
      </c>
      <c r="D190" s="8">
        <v>9756</v>
      </c>
      <c r="F190" s="176" t="s">
        <v>3415</v>
      </c>
      <c r="H190" s="1"/>
      <c r="J190" s="1"/>
    </row>
    <row r="191" spans="1:10">
      <c r="A191" s="176" t="s">
        <v>828</v>
      </c>
      <c r="B191" s="176" t="s">
        <v>3563</v>
      </c>
      <c r="C191" s="1" t="s">
        <v>3564</v>
      </c>
      <c r="D191" s="7">
        <v>10502</v>
      </c>
      <c r="F191" s="176" t="s">
        <v>3414</v>
      </c>
      <c r="H191" s="1"/>
      <c r="J191" s="1"/>
    </row>
    <row r="192" spans="1:10">
      <c r="A192" s="176" t="s">
        <v>829</v>
      </c>
      <c r="B192" s="176" t="s">
        <v>3565</v>
      </c>
      <c r="C192" s="1" t="s">
        <v>3566</v>
      </c>
      <c r="D192" s="7">
        <v>9468</v>
      </c>
      <c r="F192" s="176" t="s">
        <v>16847</v>
      </c>
      <c r="H192" s="1"/>
      <c r="J192" s="1"/>
    </row>
    <row r="193" spans="1:10">
      <c r="A193" s="176" t="s">
        <v>830</v>
      </c>
      <c r="B193" s="176" t="s">
        <v>3567</v>
      </c>
      <c r="C193" s="1" t="s">
        <v>3568</v>
      </c>
      <c r="D193" s="7">
        <v>9910</v>
      </c>
      <c r="F193" s="176" t="s">
        <v>16847</v>
      </c>
      <c r="H193" s="1"/>
      <c r="J193" s="1"/>
    </row>
    <row r="194" spans="1:10">
      <c r="A194" s="176" t="s">
        <v>831</v>
      </c>
      <c r="B194" s="176" t="s">
        <v>3569</v>
      </c>
      <c r="C194" s="1" t="s">
        <v>3570</v>
      </c>
      <c r="D194" s="8">
        <v>9285</v>
      </c>
      <c r="F194" s="176" t="s">
        <v>3415</v>
      </c>
      <c r="H194" s="1"/>
      <c r="J194" s="1"/>
    </row>
    <row r="195" spans="1:10">
      <c r="A195" s="176" t="s">
        <v>832</v>
      </c>
      <c r="B195" s="176" t="s">
        <v>3571</v>
      </c>
      <c r="C195" s="1" t="s">
        <v>3572</v>
      </c>
      <c r="D195" s="7">
        <v>10108</v>
      </c>
      <c r="F195" s="176" t="s">
        <v>3414</v>
      </c>
      <c r="H195" s="1"/>
      <c r="J195" s="1"/>
    </row>
    <row r="196" spans="1:10">
      <c r="A196" s="176" t="s">
        <v>833</v>
      </c>
      <c r="B196" s="176" t="s">
        <v>3573</v>
      </c>
      <c r="C196" s="1" t="s">
        <v>3574</v>
      </c>
      <c r="D196" s="7">
        <v>10272</v>
      </c>
      <c r="F196" s="176" t="s">
        <v>3414</v>
      </c>
      <c r="H196" s="1"/>
      <c r="J196" s="1"/>
    </row>
    <row r="197" spans="1:10">
      <c r="A197" s="176" t="s">
        <v>834</v>
      </c>
      <c r="B197" s="176" t="s">
        <v>3575</v>
      </c>
      <c r="C197" s="1" t="s">
        <v>3576</v>
      </c>
      <c r="D197" s="8">
        <v>9264</v>
      </c>
      <c r="F197" s="176" t="s">
        <v>3415</v>
      </c>
      <c r="H197" s="1"/>
      <c r="J197" s="1"/>
    </row>
    <row r="198" spans="1:10">
      <c r="A198" s="176" t="s">
        <v>835</v>
      </c>
      <c r="B198" s="176" t="s">
        <v>3577</v>
      </c>
      <c r="C198" s="1" t="s">
        <v>3578</v>
      </c>
      <c r="D198" s="7">
        <v>10352</v>
      </c>
      <c r="F198" s="176" t="s">
        <v>3414</v>
      </c>
      <c r="H198" s="1"/>
      <c r="J198" s="1"/>
    </row>
    <row r="199" spans="1:10">
      <c r="A199" s="176" t="s">
        <v>836</v>
      </c>
      <c r="B199" s="176" t="s">
        <v>3579</v>
      </c>
      <c r="C199" s="1" t="s">
        <v>3580</v>
      </c>
      <c r="D199" s="8">
        <v>9712</v>
      </c>
      <c r="F199" s="176" t="s">
        <v>3415</v>
      </c>
      <c r="H199" s="1"/>
      <c r="J199" s="1"/>
    </row>
    <row r="200" spans="1:10">
      <c r="A200" s="176" t="s">
        <v>837</v>
      </c>
      <c r="B200" s="176" t="s">
        <v>3581</v>
      </c>
      <c r="C200" s="1" t="s">
        <v>3582</v>
      </c>
      <c r="D200" s="8">
        <v>9895</v>
      </c>
      <c r="F200" s="176" t="s">
        <v>3415</v>
      </c>
      <c r="H200" s="1"/>
      <c r="J200" s="1"/>
    </row>
    <row r="201" spans="1:10">
      <c r="A201" s="176" t="s">
        <v>838</v>
      </c>
      <c r="B201" s="176" t="s">
        <v>3583</v>
      </c>
      <c r="C201" s="1" t="s">
        <v>3584</v>
      </c>
      <c r="D201" s="8">
        <v>10113</v>
      </c>
      <c r="F201" s="176" t="s">
        <v>3414</v>
      </c>
      <c r="H201" s="1"/>
      <c r="J201" s="1"/>
    </row>
    <row r="202" spans="1:10">
      <c r="A202" s="176" t="s">
        <v>840</v>
      </c>
      <c r="B202" s="176" t="s">
        <v>3585</v>
      </c>
      <c r="C202" s="1" t="s">
        <v>3586</v>
      </c>
      <c r="D202" s="7">
        <v>9842</v>
      </c>
      <c r="F202" s="176" t="s">
        <v>3413</v>
      </c>
      <c r="H202" s="1"/>
      <c r="J202" s="1"/>
    </row>
    <row r="203" spans="1:10">
      <c r="A203" s="176" t="s">
        <v>841</v>
      </c>
      <c r="B203" s="176" t="s">
        <v>3587</v>
      </c>
      <c r="C203" s="1" t="s">
        <v>3588</v>
      </c>
      <c r="D203" s="7">
        <v>9781</v>
      </c>
      <c r="F203" s="176" t="s">
        <v>3413</v>
      </c>
      <c r="H203" s="1"/>
      <c r="J203" s="1"/>
    </row>
    <row r="204" spans="1:10">
      <c r="A204" s="176" t="s">
        <v>878</v>
      </c>
      <c r="B204" s="176" t="s">
        <v>3589</v>
      </c>
      <c r="C204" s="1" t="s">
        <v>3590</v>
      </c>
      <c r="D204" s="7">
        <v>9797</v>
      </c>
      <c r="F204" s="176" t="s">
        <v>3422</v>
      </c>
      <c r="H204" s="1"/>
      <c r="J204" s="1"/>
    </row>
    <row r="205" spans="1:10">
      <c r="A205" s="176" t="s">
        <v>879</v>
      </c>
      <c r="B205" s="176" t="s">
        <v>3591</v>
      </c>
      <c r="C205" s="1" t="s">
        <v>3592</v>
      </c>
      <c r="D205" s="7">
        <v>10114</v>
      </c>
      <c r="F205" s="176" t="s">
        <v>3422</v>
      </c>
      <c r="H205" s="1"/>
      <c r="J205" s="1"/>
    </row>
    <row r="206" spans="1:10">
      <c r="A206" s="176" t="s">
        <v>880</v>
      </c>
      <c r="B206" s="176" t="s">
        <v>3593</v>
      </c>
      <c r="C206" s="1" t="s">
        <v>3594</v>
      </c>
      <c r="D206" s="8">
        <v>10118</v>
      </c>
      <c r="F206" s="176" t="s">
        <v>3415</v>
      </c>
      <c r="H206" s="1"/>
      <c r="J206" s="1"/>
    </row>
    <row r="207" spans="1:10">
      <c r="A207" s="176" t="s">
        <v>721</v>
      </c>
      <c r="B207" s="176" t="s">
        <v>3595</v>
      </c>
      <c r="C207" s="1" t="s">
        <v>3596</v>
      </c>
      <c r="D207" s="7">
        <v>10122</v>
      </c>
      <c r="F207" s="176" t="s">
        <v>3414</v>
      </c>
      <c r="H207" s="1"/>
      <c r="J207" s="1"/>
    </row>
    <row r="208" spans="1:10">
      <c r="D208" s="199"/>
    </row>
    <row r="209" spans="1:10">
      <c r="A209" s="176" t="s">
        <v>16846</v>
      </c>
      <c r="D209" s="198">
        <f>D185+D192+D193</f>
        <v>29872</v>
      </c>
    </row>
    <row r="210" spans="1:10">
      <c r="A210" s="176" t="s">
        <v>3597</v>
      </c>
      <c r="D210" s="199">
        <f>D188+D202+D203</f>
        <v>30641</v>
      </c>
    </row>
    <row r="211" spans="1:10">
      <c r="A211" s="176" t="s">
        <v>3414</v>
      </c>
      <c r="D211" s="198">
        <f>D187+D191+D195+D196+D198+D201+D207</f>
        <v>71054</v>
      </c>
    </row>
    <row r="212" spans="1:10">
      <c r="A212" s="176" t="s">
        <v>3415</v>
      </c>
      <c r="D212" s="198">
        <f>D184+D186+D190+D194+D197+D199+D200+D206</f>
        <v>78320</v>
      </c>
    </row>
    <row r="213" spans="1:10">
      <c r="A213" s="176" t="s">
        <v>3598</v>
      </c>
      <c r="D213" s="198">
        <f>D189+D204+D205</f>
        <v>29518</v>
      </c>
    </row>
    <row r="214" spans="1:10">
      <c r="A214" s="176"/>
      <c r="D214" s="198"/>
    </row>
    <row r="215" spans="1:10">
      <c r="A215" s="176" t="s">
        <v>3599</v>
      </c>
      <c r="D215" s="198"/>
    </row>
    <row r="216" spans="1:10">
      <c r="A216" s="176"/>
      <c r="B216" s="176"/>
      <c r="D216" s="205"/>
    </row>
    <row r="217" spans="1:10">
      <c r="A217" s="176"/>
      <c r="B217" s="176"/>
      <c r="D217" s="205"/>
    </row>
    <row r="218" spans="1:10">
      <c r="D218" s="10" t="s">
        <v>285</v>
      </c>
      <c r="E218" s="11"/>
      <c r="F218" s="11" t="s">
        <v>1842</v>
      </c>
    </row>
    <row r="219" spans="1:10">
      <c r="D219" s="197">
        <v>2016</v>
      </c>
      <c r="F219" s="12" t="s">
        <v>286</v>
      </c>
    </row>
    <row r="220" spans="1:10">
      <c r="A220" s="176" t="s">
        <v>3600</v>
      </c>
      <c r="D220" s="198">
        <f t="shared" ref="D220" si="30">SUM(D221:D244)</f>
        <v>215484</v>
      </c>
    </row>
    <row r="221" spans="1:10">
      <c r="A221" s="176" t="s">
        <v>812</v>
      </c>
      <c r="B221" s="176" t="s">
        <v>998</v>
      </c>
      <c r="C221" s="1" t="s">
        <v>3601</v>
      </c>
      <c r="D221" s="7">
        <v>7865</v>
      </c>
      <c r="F221" s="176" t="s">
        <v>3398</v>
      </c>
      <c r="H221" s="1"/>
      <c r="J221" s="1"/>
    </row>
    <row r="222" spans="1:10">
      <c r="A222" s="176" t="s">
        <v>813</v>
      </c>
      <c r="B222" s="176" t="s">
        <v>3602</v>
      </c>
      <c r="C222" s="1" t="s">
        <v>3603</v>
      </c>
      <c r="D222" s="7">
        <v>9124</v>
      </c>
      <c r="F222" s="176" t="s">
        <v>3418</v>
      </c>
      <c r="H222" s="1"/>
      <c r="J222" s="1"/>
    </row>
    <row r="223" spans="1:10">
      <c r="A223" s="176" t="s">
        <v>814</v>
      </c>
      <c r="B223" s="176" t="s">
        <v>3604</v>
      </c>
      <c r="C223" s="1" t="s">
        <v>3605</v>
      </c>
      <c r="D223" s="7">
        <v>8851</v>
      </c>
      <c r="F223" s="176" t="s">
        <v>3418</v>
      </c>
      <c r="H223" s="1"/>
      <c r="J223" s="1"/>
    </row>
    <row r="224" spans="1:10">
      <c r="A224" s="176" t="s">
        <v>815</v>
      </c>
      <c r="B224" s="176" t="s">
        <v>3606</v>
      </c>
      <c r="C224" s="1" t="s">
        <v>3607</v>
      </c>
      <c r="D224" s="7">
        <v>9132</v>
      </c>
      <c r="F224" s="176" t="s">
        <v>3421</v>
      </c>
      <c r="H224" s="1"/>
      <c r="J224" s="1"/>
    </row>
    <row r="225" spans="1:10">
      <c r="A225" s="176" t="s">
        <v>816</v>
      </c>
      <c r="B225" s="176" t="s">
        <v>3608</v>
      </c>
      <c r="C225" s="1" t="s">
        <v>3609</v>
      </c>
      <c r="D225" s="7">
        <v>9982</v>
      </c>
      <c r="F225" s="176" t="s">
        <v>3418</v>
      </c>
      <c r="H225" s="1"/>
      <c r="J225" s="1"/>
    </row>
    <row r="226" spans="1:10">
      <c r="A226" s="176" t="s">
        <v>826</v>
      </c>
      <c r="B226" s="176" t="s">
        <v>3610</v>
      </c>
      <c r="C226" s="1" t="s">
        <v>3611</v>
      </c>
      <c r="D226" s="7">
        <v>8741</v>
      </c>
      <c r="F226" s="176" t="s">
        <v>3421</v>
      </c>
      <c r="H226" s="1"/>
      <c r="J226" s="1"/>
    </row>
    <row r="227" spans="1:10">
      <c r="A227" s="176" t="s">
        <v>827</v>
      </c>
      <c r="B227" s="176" t="s">
        <v>3612</v>
      </c>
      <c r="C227" s="1" t="s">
        <v>3613</v>
      </c>
      <c r="D227" s="7">
        <v>9438</v>
      </c>
      <c r="F227" s="176" t="s">
        <v>3421</v>
      </c>
      <c r="H227" s="1"/>
      <c r="J227" s="1"/>
    </row>
    <row r="228" spans="1:10">
      <c r="A228" s="176" t="s">
        <v>828</v>
      </c>
      <c r="B228" s="176" t="s">
        <v>3614</v>
      </c>
      <c r="C228" s="1" t="s">
        <v>3615</v>
      </c>
      <c r="D228" s="8">
        <v>9166</v>
      </c>
      <c r="F228" s="176" t="s">
        <v>3413</v>
      </c>
      <c r="H228" s="1"/>
      <c r="J228" s="1"/>
    </row>
    <row r="229" spans="1:10">
      <c r="A229" s="176" t="s">
        <v>829</v>
      </c>
      <c r="B229" s="176" t="s">
        <v>3616</v>
      </c>
      <c r="C229" s="1" t="s">
        <v>3617</v>
      </c>
      <c r="D229" s="7">
        <v>8042</v>
      </c>
      <c r="F229" s="176" t="s">
        <v>3413</v>
      </c>
      <c r="H229" s="1"/>
      <c r="J229" s="1"/>
    </row>
    <row r="230" spans="1:10">
      <c r="A230" s="176" t="s">
        <v>830</v>
      </c>
      <c r="B230" s="176" t="s">
        <v>3618</v>
      </c>
      <c r="C230" s="1" t="s">
        <v>3619</v>
      </c>
      <c r="D230" s="7">
        <v>9379</v>
      </c>
      <c r="F230" s="176" t="s">
        <v>3421</v>
      </c>
      <c r="H230" s="1"/>
      <c r="J230" s="1"/>
    </row>
    <row r="231" spans="1:10">
      <c r="A231" s="176" t="s">
        <v>831</v>
      </c>
      <c r="B231" s="176" t="s">
        <v>3620</v>
      </c>
      <c r="C231" s="1" t="s">
        <v>3621</v>
      </c>
      <c r="D231" s="7">
        <v>8958</v>
      </c>
      <c r="F231" s="176" t="s">
        <v>3418</v>
      </c>
      <c r="H231" s="1"/>
      <c r="J231" s="1"/>
    </row>
    <row r="232" spans="1:10">
      <c r="A232" s="176" t="s">
        <v>832</v>
      </c>
      <c r="B232" s="176" t="s">
        <v>3622</v>
      </c>
      <c r="C232" s="1" t="s">
        <v>3623</v>
      </c>
      <c r="D232" s="8">
        <v>8544</v>
      </c>
      <c r="F232" s="176" t="s">
        <v>3404</v>
      </c>
      <c r="H232" s="1"/>
      <c r="J232" s="1"/>
    </row>
    <row r="233" spans="1:10">
      <c r="A233" s="176" t="s">
        <v>833</v>
      </c>
      <c r="B233" s="176" t="s">
        <v>3624</v>
      </c>
      <c r="C233" s="1" t="s">
        <v>3625</v>
      </c>
      <c r="D233" s="7">
        <v>8965</v>
      </c>
      <c r="F233" s="176" t="s">
        <v>3418</v>
      </c>
      <c r="H233" s="1"/>
      <c r="J233" s="1"/>
    </row>
    <row r="234" spans="1:10">
      <c r="A234" s="176" t="s">
        <v>834</v>
      </c>
      <c r="B234" s="176" t="s">
        <v>3626</v>
      </c>
      <c r="C234" s="1" t="s">
        <v>3627</v>
      </c>
      <c r="D234" s="8">
        <v>9188</v>
      </c>
      <c r="F234" s="176" t="s">
        <v>3413</v>
      </c>
      <c r="H234" s="1"/>
      <c r="J234" s="1"/>
    </row>
    <row r="235" spans="1:10">
      <c r="A235" s="176" t="s">
        <v>835</v>
      </c>
      <c r="B235" s="176" t="s">
        <v>3628</v>
      </c>
      <c r="C235" s="1" t="s">
        <v>3629</v>
      </c>
      <c r="D235" s="8">
        <v>8856</v>
      </c>
      <c r="F235" s="176" t="s">
        <v>3413</v>
      </c>
      <c r="H235" s="1"/>
      <c r="J235" s="1"/>
    </row>
    <row r="236" spans="1:10">
      <c r="A236" s="176" t="s">
        <v>836</v>
      </c>
      <c r="B236" s="176" t="s">
        <v>3058</v>
      </c>
      <c r="C236" s="1" t="s">
        <v>3630</v>
      </c>
      <c r="D236" s="7">
        <v>9036</v>
      </c>
      <c r="F236" s="176" t="s">
        <v>3418</v>
      </c>
      <c r="H236" s="1"/>
      <c r="J236" s="1"/>
    </row>
    <row r="237" spans="1:10">
      <c r="A237" s="176" t="s">
        <v>837</v>
      </c>
      <c r="B237" s="176" t="s">
        <v>3631</v>
      </c>
      <c r="C237" s="1" t="s">
        <v>3632</v>
      </c>
      <c r="D237" s="7">
        <v>8960</v>
      </c>
      <c r="F237" s="176" t="s">
        <v>3421</v>
      </c>
      <c r="H237" s="1"/>
      <c r="J237" s="1"/>
    </row>
    <row r="238" spans="1:10">
      <c r="A238" s="176" t="s">
        <v>838</v>
      </c>
      <c r="B238" s="176" t="s">
        <v>3633</v>
      </c>
      <c r="C238" s="1" t="s">
        <v>3634</v>
      </c>
      <c r="D238" s="7">
        <v>9014</v>
      </c>
      <c r="F238" s="176" t="s">
        <v>3418</v>
      </c>
      <c r="H238" s="1"/>
      <c r="J238" s="1"/>
    </row>
    <row r="239" spans="1:10">
      <c r="A239" s="176" t="s">
        <v>840</v>
      </c>
      <c r="B239" s="176" t="s">
        <v>3635</v>
      </c>
      <c r="C239" s="1" t="s">
        <v>3636</v>
      </c>
      <c r="D239" s="7">
        <v>8733</v>
      </c>
      <c r="F239" s="176" t="s">
        <v>3402</v>
      </c>
      <c r="H239" s="1"/>
      <c r="J239" s="1"/>
    </row>
    <row r="240" spans="1:10">
      <c r="A240" s="176" t="s">
        <v>841</v>
      </c>
      <c r="B240" s="176" t="s">
        <v>3637</v>
      </c>
      <c r="C240" s="1" t="s">
        <v>3638</v>
      </c>
      <c r="D240" s="8">
        <v>9619</v>
      </c>
      <c r="F240" s="176" t="s">
        <v>3413</v>
      </c>
      <c r="H240" s="1"/>
      <c r="J240" s="1"/>
    </row>
    <row r="241" spans="1:10">
      <c r="A241" s="176" t="s">
        <v>878</v>
      </c>
      <c r="B241" s="176" t="s">
        <v>3639</v>
      </c>
      <c r="C241" s="1" t="s">
        <v>3640</v>
      </c>
      <c r="D241" s="8">
        <v>8850</v>
      </c>
      <c r="F241" s="176" t="s">
        <v>3418</v>
      </c>
      <c r="H241" s="1"/>
      <c r="J241" s="1"/>
    </row>
    <row r="242" spans="1:10">
      <c r="A242" s="176" t="s">
        <v>879</v>
      </c>
      <c r="B242" s="176" t="s">
        <v>3641</v>
      </c>
      <c r="C242" s="1" t="s">
        <v>3642</v>
      </c>
      <c r="D242" s="8">
        <v>8959</v>
      </c>
      <c r="F242" s="176" t="s">
        <v>3421</v>
      </c>
      <c r="H242" s="1"/>
      <c r="J242" s="1"/>
    </row>
    <row r="243" spans="1:10">
      <c r="A243" s="176" t="s">
        <v>880</v>
      </c>
      <c r="B243" s="176" t="s">
        <v>3643</v>
      </c>
      <c r="C243" s="1" t="s">
        <v>3644</v>
      </c>
      <c r="D243" s="8">
        <v>9325</v>
      </c>
      <c r="F243" s="176" t="s">
        <v>3421</v>
      </c>
      <c r="H243" s="1"/>
      <c r="J243" s="1"/>
    </row>
    <row r="244" spans="1:10">
      <c r="A244" s="176" t="s">
        <v>721</v>
      </c>
      <c r="B244" s="176" t="s">
        <v>3645</v>
      </c>
      <c r="C244" s="1" t="s">
        <v>3646</v>
      </c>
      <c r="D244" s="8">
        <v>8757</v>
      </c>
      <c r="F244" s="176" t="s">
        <v>3421</v>
      </c>
      <c r="H244" s="1"/>
      <c r="J244" s="1"/>
    </row>
    <row r="245" spans="1:10">
      <c r="D245" s="199"/>
    </row>
    <row r="246" spans="1:10">
      <c r="A246" s="176" t="s">
        <v>3503</v>
      </c>
      <c r="D246" s="199">
        <f>D221</f>
        <v>7865</v>
      </c>
    </row>
    <row r="247" spans="1:10">
      <c r="A247" s="176" t="s">
        <v>3505</v>
      </c>
      <c r="D247" s="199">
        <f>D239</f>
        <v>8733</v>
      </c>
    </row>
    <row r="248" spans="1:10">
      <c r="A248" s="176" t="s">
        <v>3506</v>
      </c>
      <c r="D248" s="199">
        <f>D232</f>
        <v>8544</v>
      </c>
    </row>
    <row r="249" spans="1:10">
      <c r="A249" s="176" t="s">
        <v>3597</v>
      </c>
      <c r="D249" s="198">
        <f>D228+D229+D234+D235+D240</f>
        <v>44871</v>
      </c>
    </row>
    <row r="250" spans="1:10">
      <c r="A250" s="176" t="s">
        <v>3418</v>
      </c>
      <c r="D250" s="198">
        <f>D222+D223+D225+D231+D233+D236+D238+D241</f>
        <v>72780</v>
      </c>
    </row>
    <row r="251" spans="1:10">
      <c r="A251" s="176" t="s">
        <v>3421</v>
      </c>
      <c r="D251" s="198">
        <f>D224+D226+D227+D230+D237+SUM(D242:D244)</f>
        <v>72691</v>
      </c>
    </row>
    <row r="252" spans="1:10">
      <c r="A252" s="176"/>
      <c r="D252" s="198"/>
    </row>
    <row r="253" spans="1:10">
      <c r="A253" s="176" t="s">
        <v>3647</v>
      </c>
      <c r="D253" s="198"/>
    </row>
    <row r="254" spans="1:10">
      <c r="A254" s="176"/>
      <c r="B254" s="176"/>
      <c r="D254" s="205"/>
    </row>
    <row r="255" spans="1:10">
      <c r="A255" s="176"/>
      <c r="B255" s="176"/>
      <c r="D255" s="205"/>
    </row>
    <row r="256" spans="1:10">
      <c r="D256" s="10" t="s">
        <v>285</v>
      </c>
      <c r="E256" s="11"/>
      <c r="F256" s="11" t="s">
        <v>1842</v>
      </c>
    </row>
    <row r="257" spans="1:10">
      <c r="D257" s="197">
        <v>2016</v>
      </c>
      <c r="F257" s="12" t="s">
        <v>286</v>
      </c>
    </row>
    <row r="258" spans="1:10">
      <c r="A258" s="176" t="s">
        <v>3648</v>
      </c>
      <c r="D258" s="198">
        <f t="shared" ref="D258" si="31">SUM(D259:D275)</f>
        <v>153873</v>
      </c>
    </row>
    <row r="259" spans="1:10">
      <c r="A259" s="176" t="s">
        <v>812</v>
      </c>
      <c r="B259" s="176" t="s">
        <v>3649</v>
      </c>
      <c r="C259" s="1" t="s">
        <v>3650</v>
      </c>
      <c r="D259" s="7">
        <v>8941</v>
      </c>
      <c r="F259" s="176" t="s">
        <v>3407</v>
      </c>
      <c r="H259" s="1"/>
      <c r="J259" s="1"/>
    </row>
    <row r="260" spans="1:10">
      <c r="A260" s="176" t="s">
        <v>813</v>
      </c>
      <c r="B260" s="176" t="s">
        <v>3651</v>
      </c>
      <c r="C260" s="1" t="s">
        <v>3652</v>
      </c>
      <c r="D260" s="7">
        <v>9760</v>
      </c>
      <c r="F260" s="180" t="s">
        <v>3160</v>
      </c>
      <c r="H260" s="1"/>
      <c r="J260" s="1"/>
    </row>
    <row r="261" spans="1:10">
      <c r="A261" s="176" t="s">
        <v>814</v>
      </c>
      <c r="B261" s="176" t="s">
        <v>3653</v>
      </c>
      <c r="C261" s="1" t="s">
        <v>3654</v>
      </c>
      <c r="D261" s="7">
        <v>9193</v>
      </c>
      <c r="F261" s="176" t="s">
        <v>3407</v>
      </c>
      <c r="H261" s="1"/>
      <c r="J261" s="1"/>
    </row>
    <row r="262" spans="1:10">
      <c r="A262" s="176" t="s">
        <v>815</v>
      </c>
      <c r="B262" s="176" t="s">
        <v>3655</v>
      </c>
      <c r="C262" s="1" t="s">
        <v>3656</v>
      </c>
      <c r="D262" s="7">
        <v>8067</v>
      </c>
      <c r="F262" s="176" t="s">
        <v>3407</v>
      </c>
      <c r="H262" s="1"/>
      <c r="J262" s="1"/>
    </row>
    <row r="263" spans="1:10">
      <c r="A263" s="176" t="s">
        <v>816</v>
      </c>
      <c r="B263" s="176" t="s">
        <v>3657</v>
      </c>
      <c r="C263" s="1" t="s">
        <v>3658</v>
      </c>
      <c r="D263" s="7">
        <v>8686</v>
      </c>
      <c r="F263" s="180" t="s">
        <v>3160</v>
      </c>
      <c r="H263" s="1"/>
      <c r="J263" s="1"/>
    </row>
    <row r="264" spans="1:10">
      <c r="A264" s="176" t="s">
        <v>826</v>
      </c>
      <c r="B264" s="176" t="s">
        <v>3659</v>
      </c>
      <c r="C264" s="1" t="s">
        <v>3660</v>
      </c>
      <c r="D264" s="7">
        <v>9255</v>
      </c>
      <c r="F264" s="176" t="s">
        <v>3407</v>
      </c>
      <c r="H264" s="1"/>
      <c r="J264" s="1"/>
    </row>
    <row r="265" spans="1:10">
      <c r="A265" s="176" t="s">
        <v>827</v>
      </c>
      <c r="B265" s="176" t="s">
        <v>3661</v>
      </c>
      <c r="C265" s="1" t="s">
        <v>3662</v>
      </c>
      <c r="D265" s="7">
        <v>8506</v>
      </c>
      <c r="F265" s="176" t="s">
        <v>3407</v>
      </c>
      <c r="H265" s="1"/>
      <c r="J265" s="1"/>
    </row>
    <row r="266" spans="1:10">
      <c r="A266" s="176" t="s">
        <v>828</v>
      </c>
      <c r="B266" s="176" t="s">
        <v>963</v>
      </c>
      <c r="C266" s="1" t="s">
        <v>3663</v>
      </c>
      <c r="D266" s="7">
        <v>8183</v>
      </c>
      <c r="F266" s="176" t="s">
        <v>3412</v>
      </c>
      <c r="H266" s="1"/>
      <c r="J266" s="1"/>
    </row>
    <row r="267" spans="1:10">
      <c r="A267" s="176" t="s">
        <v>829</v>
      </c>
      <c r="B267" s="176" t="s">
        <v>3664</v>
      </c>
      <c r="C267" s="1" t="s">
        <v>3665</v>
      </c>
      <c r="D267" s="7">
        <v>9720</v>
      </c>
      <c r="F267" s="176" t="s">
        <v>3407</v>
      </c>
      <c r="H267" s="1"/>
      <c r="J267" s="1"/>
    </row>
    <row r="268" spans="1:10">
      <c r="A268" s="176" t="s">
        <v>830</v>
      </c>
      <c r="B268" s="176" t="s">
        <v>3666</v>
      </c>
      <c r="C268" s="1" t="s">
        <v>3667</v>
      </c>
      <c r="D268" s="7">
        <v>9421</v>
      </c>
      <c r="F268" s="176" t="s">
        <v>3412</v>
      </c>
      <c r="H268" s="1"/>
      <c r="J268" s="1"/>
    </row>
    <row r="269" spans="1:10">
      <c r="A269" s="176" t="s">
        <v>831</v>
      </c>
      <c r="B269" s="176" t="s">
        <v>3668</v>
      </c>
      <c r="C269" s="1" t="s">
        <v>3669</v>
      </c>
      <c r="D269" s="7">
        <v>9528</v>
      </c>
      <c r="F269" s="180" t="s">
        <v>3160</v>
      </c>
      <c r="H269" s="1"/>
      <c r="J269" s="1"/>
    </row>
    <row r="270" spans="1:10">
      <c r="A270" s="176" t="s">
        <v>832</v>
      </c>
      <c r="B270" s="176" t="s">
        <v>3670</v>
      </c>
      <c r="C270" s="1" t="s">
        <v>3671</v>
      </c>
      <c r="D270" s="8">
        <v>10262</v>
      </c>
      <c r="F270" s="180" t="s">
        <v>3160</v>
      </c>
      <c r="H270" s="1"/>
      <c r="J270" s="1"/>
    </row>
    <row r="271" spans="1:10">
      <c r="A271" s="176" t="s">
        <v>833</v>
      </c>
      <c r="B271" s="176" t="s">
        <v>3672</v>
      </c>
      <c r="C271" s="1" t="s">
        <v>3673</v>
      </c>
      <c r="D271" s="7">
        <v>8610</v>
      </c>
      <c r="F271" s="180" t="s">
        <v>3160</v>
      </c>
      <c r="H271" s="1"/>
      <c r="J271" s="1"/>
    </row>
    <row r="272" spans="1:10">
      <c r="A272" s="176" t="s">
        <v>834</v>
      </c>
      <c r="B272" s="176" t="s">
        <v>3674</v>
      </c>
      <c r="C272" s="1" t="s">
        <v>3675</v>
      </c>
      <c r="D272" s="7">
        <v>9519</v>
      </c>
      <c r="F272" s="180" t="s">
        <v>3160</v>
      </c>
      <c r="H272" s="1"/>
      <c r="J272" s="1"/>
    </row>
    <row r="273" spans="1:10">
      <c r="A273" s="176" t="s">
        <v>835</v>
      </c>
      <c r="B273" s="176" t="s">
        <v>3676</v>
      </c>
      <c r="C273" s="1" t="s">
        <v>3677</v>
      </c>
      <c r="D273" s="7">
        <v>9108</v>
      </c>
      <c r="F273" s="180" t="s">
        <v>3160</v>
      </c>
      <c r="H273" s="1"/>
      <c r="J273" s="1"/>
    </row>
    <row r="274" spans="1:10">
      <c r="A274" s="176" t="s">
        <v>836</v>
      </c>
      <c r="B274" s="176" t="s">
        <v>3678</v>
      </c>
      <c r="C274" s="1" t="s">
        <v>3679</v>
      </c>
      <c r="D274" s="8">
        <v>9119</v>
      </c>
      <c r="F274" s="180" t="s">
        <v>3160</v>
      </c>
      <c r="H274" s="1"/>
      <c r="J274" s="1"/>
    </row>
    <row r="275" spans="1:10">
      <c r="A275" s="176" t="s">
        <v>837</v>
      </c>
      <c r="B275" s="176" t="s">
        <v>3680</v>
      </c>
      <c r="C275" s="1" t="s">
        <v>3681</v>
      </c>
      <c r="D275" s="7">
        <v>7995</v>
      </c>
      <c r="F275" s="176" t="s">
        <v>3407</v>
      </c>
      <c r="H275" s="1"/>
      <c r="J275" s="1"/>
    </row>
    <row r="276" spans="1:10">
      <c r="D276" s="199"/>
    </row>
    <row r="277" spans="1:10">
      <c r="A277" s="176" t="s">
        <v>3507</v>
      </c>
      <c r="D277" s="198">
        <f>D259+D261+D262+D264+D265+D267+D275</f>
        <v>61677</v>
      </c>
    </row>
    <row r="278" spans="1:10">
      <c r="A278" s="176" t="s">
        <v>3546</v>
      </c>
      <c r="D278" s="198">
        <f>D266+D268</f>
        <v>17604</v>
      </c>
    </row>
    <row r="279" spans="1:10">
      <c r="A279" s="180" t="s">
        <v>3342</v>
      </c>
      <c r="D279" s="198">
        <f>D260+D263+SUM(D269:D274)</f>
        <v>74592</v>
      </c>
    </row>
    <row r="280" spans="1:10">
      <c r="A280" s="176"/>
      <c r="D280" s="198"/>
    </row>
    <row r="281" spans="1:10">
      <c r="A281" s="176" t="s">
        <v>3682</v>
      </c>
      <c r="D281" s="198"/>
    </row>
    <row r="282" spans="1:10">
      <c r="A282" s="176"/>
      <c r="B282" s="176"/>
      <c r="D282" s="205"/>
    </row>
    <row r="283" spans="1:10">
      <c r="A283" s="176"/>
      <c r="B283" s="176"/>
      <c r="D283" s="205"/>
    </row>
    <row r="284" spans="1:10">
      <c r="D284" s="10" t="s">
        <v>285</v>
      </c>
      <c r="E284" s="11"/>
      <c r="F284" s="11" t="s">
        <v>1842</v>
      </c>
    </row>
    <row r="285" spans="1:10">
      <c r="D285" s="197">
        <v>2016</v>
      </c>
      <c r="F285" s="12" t="s">
        <v>286</v>
      </c>
    </row>
    <row r="286" spans="1:10">
      <c r="A286" s="176" t="s">
        <v>3683</v>
      </c>
      <c r="D286" s="198">
        <f t="shared" ref="D286" si="32">SUM(D287:D306)</f>
        <v>186960</v>
      </c>
    </row>
    <row r="287" spans="1:10">
      <c r="A287" s="176" t="s">
        <v>812</v>
      </c>
      <c r="B287" s="176" t="s">
        <v>3684</v>
      </c>
      <c r="C287" s="1" t="s">
        <v>3685</v>
      </c>
      <c r="D287" s="13">
        <v>10770</v>
      </c>
      <c r="F287" s="176" t="s">
        <v>3394</v>
      </c>
      <c r="H287" s="1"/>
      <c r="J287" s="1"/>
    </row>
    <row r="288" spans="1:10">
      <c r="A288" s="176" t="s">
        <v>813</v>
      </c>
      <c r="B288" s="176" t="s">
        <v>3686</v>
      </c>
      <c r="C288" s="1" t="s">
        <v>3687</v>
      </c>
      <c r="D288" s="13">
        <v>9918</v>
      </c>
      <c r="F288" s="176" t="s">
        <v>3394</v>
      </c>
      <c r="H288" s="1"/>
      <c r="J288" s="1"/>
    </row>
    <row r="289" spans="1:10">
      <c r="A289" s="176" t="s">
        <v>814</v>
      </c>
      <c r="B289" s="176" t="s">
        <v>3688</v>
      </c>
      <c r="C289" s="1" t="s">
        <v>3689</v>
      </c>
      <c r="D289" s="13">
        <v>8927</v>
      </c>
      <c r="F289" s="176" t="s">
        <v>3417</v>
      </c>
      <c r="H289" s="1"/>
      <c r="J289" s="1"/>
    </row>
    <row r="290" spans="1:10">
      <c r="A290" s="176" t="s">
        <v>815</v>
      </c>
      <c r="B290" s="176" t="s">
        <v>3690</v>
      </c>
      <c r="C290" s="1" t="s">
        <v>3691</v>
      </c>
      <c r="D290" s="13">
        <v>9516</v>
      </c>
      <c r="F290" s="176" t="s">
        <v>3417</v>
      </c>
      <c r="H290" s="1"/>
      <c r="J290" s="1"/>
    </row>
    <row r="291" spans="1:10">
      <c r="A291" s="176" t="s">
        <v>816</v>
      </c>
      <c r="B291" s="176" t="s">
        <v>3692</v>
      </c>
      <c r="C291" s="1" t="s">
        <v>3693</v>
      </c>
      <c r="D291" s="13">
        <v>8023</v>
      </c>
      <c r="F291" s="176" t="s">
        <v>3417</v>
      </c>
      <c r="H291" s="1"/>
      <c r="J291" s="1"/>
    </row>
    <row r="292" spans="1:10">
      <c r="A292" s="176" t="s">
        <v>826</v>
      </c>
      <c r="B292" s="176" t="s">
        <v>3694</v>
      </c>
      <c r="C292" s="1" t="s">
        <v>3695</v>
      </c>
      <c r="D292" s="13">
        <v>8672</v>
      </c>
      <c r="F292" s="176" t="s">
        <v>3394</v>
      </c>
      <c r="H292" s="1"/>
      <c r="J292" s="1"/>
    </row>
    <row r="293" spans="1:10">
      <c r="A293" s="176" t="s">
        <v>827</v>
      </c>
      <c r="B293" s="176" t="s">
        <v>3696</v>
      </c>
      <c r="C293" s="1" t="s">
        <v>3697</v>
      </c>
      <c r="D293" s="13">
        <v>9541</v>
      </c>
      <c r="F293" s="176" t="s">
        <v>3394</v>
      </c>
      <c r="H293" s="1"/>
      <c r="J293" s="1"/>
    </row>
    <row r="294" spans="1:10">
      <c r="A294" s="176" t="s">
        <v>828</v>
      </c>
      <c r="B294" s="176" t="s">
        <v>3698</v>
      </c>
      <c r="C294" s="1" t="s">
        <v>3699</v>
      </c>
      <c r="D294" s="13">
        <v>9218</v>
      </c>
      <c r="F294" s="176" t="s">
        <v>3394</v>
      </c>
      <c r="H294" s="1"/>
      <c r="J294" s="1"/>
    </row>
    <row r="295" spans="1:10">
      <c r="A295" s="176" t="s">
        <v>829</v>
      </c>
      <c r="B295" s="176" t="s">
        <v>3700</v>
      </c>
      <c r="C295" s="1" t="s">
        <v>3701</v>
      </c>
      <c r="D295" s="13">
        <v>9210</v>
      </c>
      <c r="F295" s="176" t="s">
        <v>3417</v>
      </c>
      <c r="H295" s="1"/>
      <c r="J295" s="1"/>
    </row>
    <row r="296" spans="1:10">
      <c r="A296" s="176" t="s">
        <v>830</v>
      </c>
      <c r="B296" s="176" t="s">
        <v>3702</v>
      </c>
      <c r="C296" s="1" t="s">
        <v>3703</v>
      </c>
      <c r="D296" s="13">
        <v>9429</v>
      </c>
      <c r="F296" s="176" t="s">
        <v>3417</v>
      </c>
      <c r="H296" s="1"/>
      <c r="J296" s="1"/>
    </row>
    <row r="297" spans="1:10">
      <c r="A297" s="176" t="s">
        <v>831</v>
      </c>
      <c r="B297" s="176" t="s">
        <v>3704</v>
      </c>
      <c r="C297" s="1" t="s">
        <v>3705</v>
      </c>
      <c r="D297" s="13">
        <v>9880</v>
      </c>
      <c r="F297" s="176" t="s">
        <v>3417</v>
      </c>
      <c r="H297" s="1"/>
      <c r="J297" s="1"/>
    </row>
    <row r="298" spans="1:10">
      <c r="A298" s="176" t="s">
        <v>832</v>
      </c>
      <c r="B298" s="176" t="s">
        <v>3706</v>
      </c>
      <c r="C298" s="1" t="s">
        <v>3707</v>
      </c>
      <c r="D298" s="13">
        <v>8758</v>
      </c>
      <c r="F298" s="176" t="s">
        <v>3394</v>
      </c>
      <c r="H298" s="1"/>
      <c r="J298" s="1"/>
    </row>
    <row r="299" spans="1:10">
      <c r="A299" s="176" t="s">
        <v>833</v>
      </c>
      <c r="B299" s="176" t="s">
        <v>3708</v>
      </c>
      <c r="C299" s="1" t="s">
        <v>3709</v>
      </c>
      <c r="D299" s="13">
        <v>8782</v>
      </c>
      <c r="F299" s="176" t="s">
        <v>3400</v>
      </c>
      <c r="H299" s="1"/>
      <c r="J299" s="1"/>
    </row>
    <row r="300" spans="1:10">
      <c r="A300" s="176" t="s">
        <v>834</v>
      </c>
      <c r="B300" s="176" t="s">
        <v>3710</v>
      </c>
      <c r="C300" s="1" t="s">
        <v>3711</v>
      </c>
      <c r="D300" s="13">
        <v>8969</v>
      </c>
      <c r="F300" s="176" t="s">
        <v>3417</v>
      </c>
      <c r="H300" s="1"/>
      <c r="J300" s="1"/>
    </row>
    <row r="301" spans="1:10">
      <c r="A301" s="176" t="s">
        <v>835</v>
      </c>
      <c r="B301" s="176" t="s">
        <v>3712</v>
      </c>
      <c r="C301" s="1" t="s">
        <v>3713</v>
      </c>
      <c r="D301" s="13">
        <v>9030</v>
      </c>
      <c r="F301" s="176" t="s">
        <v>3394</v>
      </c>
      <c r="H301" s="1"/>
      <c r="J301" s="1"/>
    </row>
    <row r="302" spans="1:10">
      <c r="A302" s="176" t="s">
        <v>836</v>
      </c>
      <c r="B302" s="176" t="s">
        <v>3714</v>
      </c>
      <c r="C302" s="1" t="s">
        <v>3715</v>
      </c>
      <c r="D302" s="13">
        <v>9218</v>
      </c>
      <c r="F302" s="176" t="s">
        <v>3417</v>
      </c>
      <c r="H302" s="1"/>
      <c r="J302" s="1"/>
    </row>
    <row r="303" spans="1:10">
      <c r="A303" s="176" t="s">
        <v>837</v>
      </c>
      <c r="B303" s="176" t="s">
        <v>3716</v>
      </c>
      <c r="C303" s="1" t="s">
        <v>3717</v>
      </c>
      <c r="D303" s="13">
        <v>8583</v>
      </c>
      <c r="F303" s="176" t="s">
        <v>3419</v>
      </c>
      <c r="H303" s="1"/>
      <c r="J303" s="1"/>
    </row>
    <row r="304" spans="1:10">
      <c r="A304" s="176" t="s">
        <v>838</v>
      </c>
      <c r="B304" s="176" t="s">
        <v>3718</v>
      </c>
      <c r="C304" s="1" t="s">
        <v>3719</v>
      </c>
      <c r="D304" s="13">
        <v>10665</v>
      </c>
      <c r="F304" s="176" t="s">
        <v>3394</v>
      </c>
      <c r="H304" s="1"/>
      <c r="J304" s="1"/>
    </row>
    <row r="305" spans="1:10">
      <c r="A305" s="176" t="s">
        <v>840</v>
      </c>
      <c r="B305" s="176" t="s">
        <v>3720</v>
      </c>
      <c r="C305" s="1" t="s">
        <v>3721</v>
      </c>
      <c r="D305" s="13">
        <v>9275</v>
      </c>
      <c r="F305" s="176" t="s">
        <v>3419</v>
      </c>
      <c r="H305" s="1"/>
      <c r="J305" s="1"/>
    </row>
    <row r="306" spans="1:10">
      <c r="A306" s="176" t="s">
        <v>841</v>
      </c>
      <c r="B306" s="176" t="s">
        <v>3722</v>
      </c>
      <c r="C306" s="1" t="s">
        <v>3723</v>
      </c>
      <c r="D306" s="13">
        <v>10576</v>
      </c>
      <c r="F306" s="176" t="s">
        <v>3419</v>
      </c>
      <c r="H306" s="1"/>
      <c r="J306" s="1"/>
    </row>
    <row r="307" spans="1:10">
      <c r="D307" s="199"/>
    </row>
    <row r="308" spans="1:10">
      <c r="A308" s="176" t="s">
        <v>3394</v>
      </c>
      <c r="D308" s="198">
        <f>D287+D288+SUM(D292:D294)+D298+D301+D304</f>
        <v>76572</v>
      </c>
    </row>
    <row r="309" spans="1:10">
      <c r="A309" s="176" t="s">
        <v>3504</v>
      </c>
      <c r="D309" s="198">
        <f>D299</f>
        <v>8782</v>
      </c>
    </row>
    <row r="310" spans="1:10">
      <c r="A310" s="176" t="s">
        <v>3417</v>
      </c>
      <c r="D310" s="198">
        <f>SUM(D289:D291)+SUM(D295:D297)+D300+D302</f>
        <v>73172</v>
      </c>
    </row>
    <row r="311" spans="1:10">
      <c r="A311" s="176" t="s">
        <v>3724</v>
      </c>
      <c r="D311" s="198">
        <f>D303+D305+D306</f>
        <v>28434</v>
      </c>
    </row>
    <row r="313" spans="1:10">
      <c r="A313" s="176" t="s">
        <v>3725</v>
      </c>
      <c r="D313" s="198"/>
    </row>
    <row r="314" spans="1:10">
      <c r="A314" s="176"/>
      <c r="B314" s="176"/>
      <c r="D314" s="205"/>
    </row>
    <row r="315" spans="1:10">
      <c r="A315" s="176"/>
      <c r="B315" s="176"/>
      <c r="D315" s="205"/>
    </row>
    <row r="316" spans="1:10">
      <c r="D316" s="10" t="s">
        <v>285</v>
      </c>
      <c r="E316" s="11"/>
      <c r="F316" s="11" t="s">
        <v>1842</v>
      </c>
    </row>
    <row r="317" spans="1:10">
      <c r="D317" s="197">
        <v>2016</v>
      </c>
      <c r="F317" s="12" t="s">
        <v>286</v>
      </c>
    </row>
    <row r="318" spans="1:10">
      <c r="A318" s="176" t="s">
        <v>3726</v>
      </c>
      <c r="D318" s="198">
        <f t="shared" ref="D318" si="33">SUM(D319:D338)</f>
        <v>170212</v>
      </c>
    </row>
    <row r="319" spans="1:10">
      <c r="A319" s="176" t="s">
        <v>812</v>
      </c>
      <c r="B319" s="176" t="s">
        <v>3727</v>
      </c>
      <c r="C319" s="1" t="s">
        <v>3728</v>
      </c>
      <c r="D319" s="7">
        <v>9442</v>
      </c>
      <c r="F319" s="176" t="s">
        <v>3422</v>
      </c>
      <c r="H319" s="1"/>
      <c r="J319" s="1"/>
    </row>
    <row r="320" spans="1:10">
      <c r="A320" s="176" t="s">
        <v>813</v>
      </c>
      <c r="B320" s="176" t="s">
        <v>3729</v>
      </c>
      <c r="C320" s="1" t="s">
        <v>3730</v>
      </c>
      <c r="D320" s="7">
        <v>8649</v>
      </c>
      <c r="F320" s="176" t="s">
        <v>3422</v>
      </c>
      <c r="H320" s="1"/>
      <c r="J320" s="1"/>
    </row>
    <row r="321" spans="1:10">
      <c r="A321" s="176" t="s">
        <v>814</v>
      </c>
      <c r="B321" s="176" t="s">
        <v>3731</v>
      </c>
      <c r="C321" s="1" t="s">
        <v>3732</v>
      </c>
      <c r="D321" s="7">
        <v>7892</v>
      </c>
      <c r="F321" s="176" t="s">
        <v>3423</v>
      </c>
      <c r="H321" s="1"/>
      <c r="J321" s="1"/>
    </row>
    <row r="322" spans="1:10">
      <c r="A322" s="176" t="s">
        <v>815</v>
      </c>
      <c r="B322" s="176" t="s">
        <v>3733</v>
      </c>
      <c r="C322" s="1" t="s">
        <v>3734</v>
      </c>
      <c r="D322" s="7">
        <v>8812</v>
      </c>
      <c r="F322" s="176" t="s">
        <v>3423</v>
      </c>
      <c r="H322" s="1"/>
      <c r="J322" s="1"/>
    </row>
    <row r="323" spans="1:10">
      <c r="A323" s="176" t="s">
        <v>816</v>
      </c>
      <c r="B323" s="176" t="s">
        <v>3735</v>
      </c>
      <c r="C323" s="1" t="s">
        <v>3736</v>
      </c>
      <c r="D323" s="7">
        <v>9038</v>
      </c>
      <c r="F323" s="176" t="s">
        <v>3419</v>
      </c>
      <c r="H323" s="1"/>
      <c r="J323" s="1"/>
    </row>
    <row r="324" spans="1:10">
      <c r="A324" s="176" t="s">
        <v>826</v>
      </c>
      <c r="B324" s="176" t="s">
        <v>3737</v>
      </c>
      <c r="C324" s="1" t="s">
        <v>3738</v>
      </c>
      <c r="D324" s="7">
        <v>8550</v>
      </c>
      <c r="F324" s="176" t="s">
        <v>3422</v>
      </c>
      <c r="H324" s="1"/>
      <c r="J324" s="1"/>
    </row>
    <row r="325" spans="1:10">
      <c r="A325" s="176" t="s">
        <v>827</v>
      </c>
      <c r="B325" s="176" t="s">
        <v>3739</v>
      </c>
      <c r="C325" s="1" t="s">
        <v>3740</v>
      </c>
      <c r="D325" s="7">
        <v>8915</v>
      </c>
      <c r="F325" s="176" t="s">
        <v>3422</v>
      </c>
      <c r="H325" s="1"/>
      <c r="J325" s="1"/>
    </row>
    <row r="326" spans="1:10">
      <c r="A326" s="176" t="s">
        <v>828</v>
      </c>
      <c r="B326" s="176" t="s">
        <v>3741</v>
      </c>
      <c r="C326" s="1" t="s">
        <v>3742</v>
      </c>
      <c r="D326" s="7">
        <v>8804</v>
      </c>
      <c r="F326" s="176" t="s">
        <v>3419</v>
      </c>
      <c r="H326" s="1"/>
      <c r="J326" s="1"/>
    </row>
    <row r="327" spans="1:10">
      <c r="A327" s="176" t="s">
        <v>829</v>
      </c>
      <c r="B327" s="176" t="s">
        <v>3743</v>
      </c>
      <c r="C327" s="1" t="s">
        <v>3744</v>
      </c>
      <c r="D327" s="7">
        <v>7635</v>
      </c>
      <c r="F327" s="176" t="s">
        <v>3423</v>
      </c>
      <c r="H327" s="1"/>
      <c r="J327" s="1"/>
    </row>
    <row r="328" spans="1:10">
      <c r="A328" s="176" t="s">
        <v>830</v>
      </c>
      <c r="B328" s="176" t="s">
        <v>3745</v>
      </c>
      <c r="C328" s="1" t="s">
        <v>3746</v>
      </c>
      <c r="D328" s="7">
        <v>7435</v>
      </c>
      <c r="F328" s="176" t="s">
        <v>3419</v>
      </c>
      <c r="H328" s="1"/>
      <c r="J328" s="1"/>
    </row>
    <row r="329" spans="1:10">
      <c r="A329" s="176" t="s">
        <v>831</v>
      </c>
      <c r="B329" s="176" t="s">
        <v>3747</v>
      </c>
      <c r="C329" s="1" t="s">
        <v>3748</v>
      </c>
      <c r="D329" s="8">
        <v>9118</v>
      </c>
      <c r="F329" s="176" t="s">
        <v>3423</v>
      </c>
      <c r="H329" s="1"/>
      <c r="J329" s="1"/>
    </row>
    <row r="330" spans="1:10">
      <c r="A330" s="176" t="s">
        <v>832</v>
      </c>
      <c r="B330" s="176" t="s">
        <v>3749</v>
      </c>
      <c r="C330" s="1" t="s">
        <v>3750</v>
      </c>
      <c r="D330" s="7">
        <v>8766</v>
      </c>
      <c r="F330" s="176" t="s">
        <v>3423</v>
      </c>
      <c r="H330" s="1"/>
      <c r="J330" s="1"/>
    </row>
    <row r="331" spans="1:10">
      <c r="A331" s="176" t="s">
        <v>833</v>
      </c>
      <c r="B331" s="176" t="s">
        <v>303</v>
      </c>
      <c r="C331" s="1" t="s">
        <v>3751</v>
      </c>
      <c r="D331" s="8">
        <v>7415</v>
      </c>
      <c r="F331" s="176" t="s">
        <v>3423</v>
      </c>
      <c r="H331" s="1"/>
      <c r="J331" s="1"/>
    </row>
    <row r="332" spans="1:10">
      <c r="A332" s="176" t="s">
        <v>834</v>
      </c>
      <c r="B332" s="176" t="s">
        <v>3752</v>
      </c>
      <c r="C332" s="1" t="s">
        <v>3753</v>
      </c>
      <c r="D332" s="8">
        <v>9759</v>
      </c>
      <c r="F332" s="176" t="s">
        <v>3423</v>
      </c>
      <c r="H332" s="1"/>
      <c r="J332" s="1"/>
    </row>
    <row r="333" spans="1:10">
      <c r="A333" s="176" t="s">
        <v>835</v>
      </c>
      <c r="B333" s="176" t="s">
        <v>1026</v>
      </c>
      <c r="C333" s="1" t="s">
        <v>3754</v>
      </c>
      <c r="D333" s="8">
        <v>6321</v>
      </c>
      <c r="F333" s="176" t="s">
        <v>3419</v>
      </c>
      <c r="H333" s="1"/>
      <c r="J333" s="1"/>
    </row>
    <row r="334" spans="1:10">
      <c r="A334" s="176" t="s">
        <v>836</v>
      </c>
      <c r="B334" s="176" t="s">
        <v>3755</v>
      </c>
      <c r="C334" s="1" t="s">
        <v>3756</v>
      </c>
      <c r="D334" s="7">
        <v>8578</v>
      </c>
      <c r="F334" s="176" t="s">
        <v>3422</v>
      </c>
      <c r="H334" s="1"/>
      <c r="J334" s="1"/>
    </row>
    <row r="335" spans="1:10">
      <c r="A335" s="176" t="s">
        <v>837</v>
      </c>
      <c r="B335" s="176" t="s">
        <v>3757</v>
      </c>
      <c r="C335" s="1" t="s">
        <v>3758</v>
      </c>
      <c r="D335" s="8">
        <v>9137</v>
      </c>
      <c r="F335" s="176" t="s">
        <v>3423</v>
      </c>
      <c r="H335" s="1"/>
      <c r="J335" s="1"/>
    </row>
    <row r="336" spans="1:10">
      <c r="A336" s="176" t="s">
        <v>838</v>
      </c>
      <c r="B336" s="176" t="s">
        <v>3759</v>
      </c>
      <c r="C336" s="1" t="s">
        <v>3760</v>
      </c>
      <c r="D336" s="8">
        <v>8839</v>
      </c>
      <c r="F336" s="176" t="s">
        <v>3423</v>
      </c>
      <c r="H336" s="1"/>
      <c r="J336" s="1"/>
    </row>
    <row r="337" spans="1:10">
      <c r="A337" s="176" t="s">
        <v>840</v>
      </c>
      <c r="B337" s="176" t="s">
        <v>3761</v>
      </c>
      <c r="C337" s="1" t="s">
        <v>3762</v>
      </c>
      <c r="D337" s="7">
        <v>8681</v>
      </c>
      <c r="F337" s="176" t="s">
        <v>3419</v>
      </c>
      <c r="H337" s="1"/>
      <c r="J337" s="1"/>
    </row>
    <row r="338" spans="1:10">
      <c r="A338" s="176" t="s">
        <v>841</v>
      </c>
      <c r="B338" s="176" t="s">
        <v>3763</v>
      </c>
      <c r="C338" s="1" t="s">
        <v>3764</v>
      </c>
      <c r="D338" s="7">
        <v>8426</v>
      </c>
      <c r="F338" s="176" t="s">
        <v>3419</v>
      </c>
      <c r="H338" s="1"/>
      <c r="J338" s="1"/>
    </row>
    <row r="339" spans="1:10">
      <c r="D339" s="199"/>
    </row>
    <row r="340" spans="1:10">
      <c r="A340" s="176" t="s">
        <v>3724</v>
      </c>
      <c r="D340" s="198">
        <f>D323+D326+D328+D333+D337+D338</f>
        <v>48705</v>
      </c>
    </row>
    <row r="341" spans="1:10">
      <c r="A341" s="176" t="s">
        <v>3598</v>
      </c>
      <c r="D341" s="198">
        <f>D319+D320+D324+D325+D334</f>
        <v>44134</v>
      </c>
    </row>
    <row r="342" spans="1:10">
      <c r="A342" s="176" t="s">
        <v>3423</v>
      </c>
      <c r="D342" s="198">
        <f>D321+D322+D327+SUM(D329:D332)+D335+D336</f>
        <v>77373</v>
      </c>
    </row>
    <row r="344" spans="1:10">
      <c r="A344" s="196" t="s">
        <v>3765</v>
      </c>
    </row>
  </sheetData>
  <printOptions gridLinesSet="0"/>
  <pageMargins left="0.78740157480314965" right="0" top="0.51181102362204722" bottom="0.51181102362204722" header="0.51181102362204722" footer="0.51181102362204722"/>
  <pageSetup paperSize="9" scale="65" orientation="portrait" horizontalDpi="300" verticalDpi="300" r:id="rId1"/>
  <headerFooter alignWithMargins="0">
    <oddFooter>&amp;C&amp;8&amp;P of &amp;N</oddFooter>
  </headerFooter>
  <rowBreaks count="2" manualBreakCount="2">
    <brk id="67" max="4" man="1"/>
    <brk id="89" max="4" man="1"/>
  </rowBreaks>
  <ignoredErrors>
    <ignoredError sqref="D3:D444" unlockedFormula="1"/>
  </ignoredError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55"/>
  <sheetViews>
    <sheetView showGridLines="0" zoomScaleNormal="100" workbookViewId="0"/>
  </sheetViews>
  <sheetFormatPr defaultColWidth="12.59765625" defaultRowHeight="14.5"/>
  <cols>
    <col min="1" max="1" width="4.8984375" style="843" customWidth="1"/>
    <col min="2" max="2" width="41" style="843" customWidth="1"/>
    <col min="3" max="3" width="11.59765625" style="843" customWidth="1"/>
    <col min="4" max="4" width="10.09765625" style="843" customWidth="1"/>
    <col min="5" max="5" width="2.296875" style="843" customWidth="1"/>
    <col min="6" max="6" width="40.69921875" style="843" customWidth="1"/>
    <col min="7" max="16384" width="12.59765625" style="843"/>
  </cols>
  <sheetData>
    <row r="1" spans="1:6">
      <c r="A1" s="842" t="s">
        <v>1075</v>
      </c>
      <c r="D1" s="844">
        <v>2016</v>
      </c>
    </row>
    <row r="3" spans="1:6">
      <c r="A3" s="842" t="s">
        <v>13748</v>
      </c>
      <c r="D3" s="845">
        <f t="shared" ref="D3" si="0">SUM(D5:D11)</f>
        <v>598549</v>
      </c>
    </row>
    <row r="4" spans="1:6">
      <c r="D4" s="846"/>
    </row>
    <row r="5" spans="1:6">
      <c r="A5" s="842" t="s">
        <v>16544</v>
      </c>
      <c r="C5" s="842"/>
      <c r="D5" s="845">
        <f t="shared" ref="D5" si="1">D46</f>
        <v>46643</v>
      </c>
      <c r="F5" s="847"/>
    </row>
    <row r="6" spans="1:6">
      <c r="A6" s="842" t="s">
        <v>16545</v>
      </c>
      <c r="C6" s="842"/>
      <c r="D6" s="845">
        <f t="shared" ref="D6" si="2">D69</f>
        <v>113193</v>
      </c>
      <c r="F6" s="847"/>
    </row>
    <row r="7" spans="1:6">
      <c r="A7" s="842" t="s">
        <v>16546</v>
      </c>
      <c r="C7" s="842"/>
      <c r="D7" s="845">
        <f t="shared" ref="D7" si="3">D103</f>
        <v>85960</v>
      </c>
      <c r="F7" s="847"/>
    </row>
    <row r="8" spans="1:6">
      <c r="A8" s="842" t="s">
        <v>16547</v>
      </c>
      <c r="C8" s="842"/>
      <c r="D8" s="845">
        <f t="shared" ref="D8" si="4">D142</f>
        <v>70578</v>
      </c>
      <c r="F8" s="847"/>
    </row>
    <row r="9" spans="1:6">
      <c r="A9" s="842" t="s">
        <v>16548</v>
      </c>
      <c r="C9" s="842"/>
      <c r="D9" s="845">
        <f t="shared" ref="D9" si="5">D166</f>
        <v>100288</v>
      </c>
      <c r="F9" s="847"/>
    </row>
    <row r="10" spans="1:6">
      <c r="A10" s="842" t="s">
        <v>16549</v>
      </c>
      <c r="C10" s="842"/>
      <c r="D10" s="845">
        <f t="shared" ref="D10" si="6">D199</f>
        <v>104358</v>
      </c>
      <c r="F10" s="847"/>
    </row>
    <row r="11" spans="1:6">
      <c r="A11" s="842" t="s">
        <v>16550</v>
      </c>
      <c r="C11" s="842"/>
      <c r="D11" s="845">
        <f t="shared" ref="D11" si="7">D237</f>
        <v>77529</v>
      </c>
      <c r="F11" s="847"/>
    </row>
    <row r="13" spans="1:6">
      <c r="A13" s="842" t="s">
        <v>16551</v>
      </c>
      <c r="D13" s="845">
        <f t="shared" ref="D13" si="8">D94</f>
        <v>13243</v>
      </c>
      <c r="F13" s="842" t="s">
        <v>16552</v>
      </c>
    </row>
    <row r="14" spans="1:6">
      <c r="D14" s="845">
        <f t="shared" ref="D14" si="9">D134</f>
        <v>10873</v>
      </c>
      <c r="F14" s="842" t="s">
        <v>16553</v>
      </c>
    </row>
    <row r="15" spans="1:6">
      <c r="D15" s="845">
        <f t="shared" ref="D15" si="10">D190</f>
        <v>36249</v>
      </c>
      <c r="F15" s="842" t="s">
        <v>16554</v>
      </c>
    </row>
    <row r="16" spans="1:6" ht="15" thickBot="1">
      <c r="D16" s="848">
        <f t="shared" ref="D16" si="11">D227</f>
        <v>13966</v>
      </c>
      <c r="F16" s="842" t="s">
        <v>16555</v>
      </c>
    </row>
    <row r="17" spans="1:6" ht="15" thickBot="1">
      <c r="D17" s="848">
        <f t="shared" ref="D17" si="12">SUM(D13:D16)</f>
        <v>74331</v>
      </c>
    </row>
    <row r="18" spans="1:6">
      <c r="D18" s="846"/>
    </row>
    <row r="19" spans="1:6">
      <c r="A19" s="842" t="s">
        <v>16556</v>
      </c>
      <c r="D19" s="845">
        <f t="shared" ref="D19" si="13">D95</f>
        <v>78189</v>
      </c>
      <c r="F19" s="842" t="s">
        <v>16552</v>
      </c>
    </row>
    <row r="20" spans="1:6">
      <c r="D20" s="846"/>
    </row>
    <row r="21" spans="1:6">
      <c r="A21" s="842" t="s">
        <v>16557</v>
      </c>
      <c r="D21" s="845">
        <f t="shared" ref="D21" si="14">D135</f>
        <v>75087</v>
      </c>
      <c r="F21" s="842" t="s">
        <v>16553</v>
      </c>
    </row>
    <row r="22" spans="1:6">
      <c r="D22" s="846"/>
    </row>
    <row r="23" spans="1:6">
      <c r="A23" s="842" t="s">
        <v>16558</v>
      </c>
      <c r="D23" s="845">
        <f t="shared" ref="D23" si="15">D159</f>
        <v>70578</v>
      </c>
      <c r="F23" s="842" t="s">
        <v>6962</v>
      </c>
    </row>
    <row r="24" spans="1:6" ht="15" thickBot="1">
      <c r="A24" s="842"/>
      <c r="D24" s="848">
        <f>D228</f>
        <v>3747</v>
      </c>
      <c r="F24" s="842" t="s">
        <v>16555</v>
      </c>
    </row>
    <row r="25" spans="1:6" ht="15" thickBot="1">
      <c r="A25" s="842"/>
      <c r="D25" s="848">
        <f t="shared" ref="D25" si="16">D23+D24</f>
        <v>74325</v>
      </c>
      <c r="F25" s="842"/>
    </row>
    <row r="26" spans="1:6">
      <c r="D26" s="846"/>
    </row>
    <row r="27" spans="1:6">
      <c r="A27" s="842" t="s">
        <v>16559</v>
      </c>
      <c r="D27" s="845">
        <f t="shared" ref="D27" si="17">D62</f>
        <v>46643</v>
      </c>
      <c r="F27" s="842" t="s">
        <v>13742</v>
      </c>
    </row>
    <row r="28" spans="1:6" ht="15" thickBot="1">
      <c r="D28" s="848">
        <f t="shared" ref="D28" si="18">D252</f>
        <v>25080</v>
      </c>
      <c r="F28" s="842" t="s">
        <v>16560</v>
      </c>
    </row>
    <row r="29" spans="1:6" ht="15" thickBot="1">
      <c r="D29" s="848">
        <f t="shared" ref="D29" si="19">D27+D28</f>
        <v>71723</v>
      </c>
    </row>
    <row r="30" spans="1:6">
      <c r="D30" s="846"/>
    </row>
    <row r="31" spans="1:6">
      <c r="A31" s="842" t="s">
        <v>16561</v>
      </c>
      <c r="D31" s="845">
        <f t="shared" ref="D31" si="20">D191</f>
        <v>64039</v>
      </c>
      <c r="F31" s="842" t="s">
        <v>16554</v>
      </c>
    </row>
    <row r="32" spans="1:6" ht="15" thickBot="1">
      <c r="D32" s="848">
        <f t="shared" ref="D32" si="21">D229</f>
        <v>9614</v>
      </c>
      <c r="F32" s="842" t="s">
        <v>16555</v>
      </c>
    </row>
    <row r="33" spans="1:9" ht="15" thickBot="1">
      <c r="D33" s="848">
        <f t="shared" ref="D33" si="22">SUM(D31:D32)</f>
        <v>73653</v>
      </c>
    </row>
    <row r="34" spans="1:9">
      <c r="D34" s="846"/>
    </row>
    <row r="35" spans="1:9">
      <c r="A35" s="842" t="s">
        <v>16562</v>
      </c>
      <c r="D35" s="845">
        <f t="shared" ref="D35" si="23">D230</f>
        <v>77031</v>
      </c>
      <c r="F35" s="842" t="s">
        <v>16555</v>
      </c>
    </row>
    <row r="36" spans="1:9">
      <c r="D36" s="846"/>
    </row>
    <row r="37" spans="1:9">
      <c r="A37" s="842" t="s">
        <v>16563</v>
      </c>
      <c r="D37" s="845">
        <f t="shared" ref="D37" si="24">D96</f>
        <v>21761</v>
      </c>
      <c r="F37" s="842" t="s">
        <v>16552</v>
      </c>
    </row>
    <row r="38" spans="1:9" ht="15" thickBot="1">
      <c r="D38" s="848">
        <f t="shared" ref="D38" si="25">D253</f>
        <v>52449</v>
      </c>
      <c r="F38" s="842" t="s">
        <v>16560</v>
      </c>
    </row>
    <row r="39" spans="1:9" ht="15" thickBot="1">
      <c r="D39" s="848">
        <f t="shared" ref="D39" si="26">D37+D38</f>
        <v>74210</v>
      </c>
    </row>
    <row r="40" spans="1:9">
      <c r="D40" s="846"/>
    </row>
    <row r="41" spans="1:9">
      <c r="A41" s="842" t="s">
        <v>1041</v>
      </c>
      <c r="D41" s="845">
        <f>D17+D19+D21+D25+D29+D33+D35+D39</f>
        <v>598549</v>
      </c>
    </row>
    <row r="42" spans="1:9">
      <c r="D42" s="846"/>
    </row>
    <row r="43" spans="1:9">
      <c r="A43" s="2"/>
      <c r="B43" s="2"/>
      <c r="C43" s="2"/>
      <c r="D43" s="2"/>
      <c r="E43" s="2"/>
      <c r="F43" s="2"/>
    </row>
    <row r="44" spans="1:9">
      <c r="D44" s="10" t="s">
        <v>285</v>
      </c>
      <c r="E44" s="11"/>
      <c r="F44" s="5" t="s">
        <v>4116</v>
      </c>
    </row>
    <row r="45" spans="1:9">
      <c r="D45" s="844">
        <v>2016</v>
      </c>
      <c r="F45" s="12" t="s">
        <v>286</v>
      </c>
    </row>
    <row r="46" spans="1:9">
      <c r="A46" s="842" t="s">
        <v>16564</v>
      </c>
      <c r="C46" s="842"/>
      <c r="D46" s="845">
        <f t="shared" ref="D46" si="27">SUM(D47:D60)</f>
        <v>46643</v>
      </c>
    </row>
    <row r="47" spans="1:9">
      <c r="A47" s="842" t="s">
        <v>812</v>
      </c>
      <c r="B47" s="842" t="s">
        <v>16565</v>
      </c>
      <c r="C47" s="292" t="s">
        <v>16566</v>
      </c>
      <c r="D47" s="293">
        <v>3039</v>
      </c>
      <c r="F47" s="842" t="s">
        <v>16559</v>
      </c>
      <c r="G47" s="292"/>
      <c r="I47" s="292"/>
    </row>
    <row r="48" spans="1:9">
      <c r="A48" s="842" t="s">
        <v>813</v>
      </c>
      <c r="B48" s="842" t="s">
        <v>10539</v>
      </c>
      <c r="C48" s="292" t="s">
        <v>16567</v>
      </c>
      <c r="D48" s="293">
        <v>3292</v>
      </c>
      <c r="F48" s="842" t="s">
        <v>16559</v>
      </c>
      <c r="G48" s="292"/>
      <c r="I48" s="292"/>
    </row>
    <row r="49" spans="1:9">
      <c r="A49" s="842" t="s">
        <v>814</v>
      </c>
      <c r="B49" s="842" t="s">
        <v>16568</v>
      </c>
      <c r="C49" s="292" t="s">
        <v>16569</v>
      </c>
      <c r="D49" s="293">
        <v>3286</v>
      </c>
      <c r="F49" s="842" t="s">
        <v>16559</v>
      </c>
      <c r="G49" s="292"/>
      <c r="I49" s="292"/>
    </row>
    <row r="50" spans="1:9">
      <c r="A50" s="842" t="s">
        <v>815</v>
      </c>
      <c r="B50" s="842" t="s">
        <v>9191</v>
      </c>
      <c r="C50" s="292" t="s">
        <v>16570</v>
      </c>
      <c r="D50" s="293">
        <v>3308</v>
      </c>
      <c r="F50" s="842" t="s">
        <v>16559</v>
      </c>
      <c r="G50" s="292"/>
      <c r="I50" s="292"/>
    </row>
    <row r="51" spans="1:9">
      <c r="A51" s="842" t="s">
        <v>816</v>
      </c>
      <c r="B51" s="842" t="s">
        <v>10182</v>
      </c>
      <c r="C51" s="292" t="s">
        <v>16571</v>
      </c>
      <c r="D51" s="293">
        <v>3301</v>
      </c>
      <c r="F51" s="842" t="s">
        <v>16559</v>
      </c>
      <c r="G51" s="292"/>
      <c r="I51" s="292"/>
    </row>
    <row r="52" spans="1:9">
      <c r="A52" s="842" t="s">
        <v>826</v>
      </c>
      <c r="B52" s="842" t="s">
        <v>3050</v>
      </c>
      <c r="C52" s="292" t="s">
        <v>16572</v>
      </c>
      <c r="D52" s="293">
        <v>3204</v>
      </c>
      <c r="F52" s="842" t="s">
        <v>16559</v>
      </c>
      <c r="G52" s="292"/>
      <c r="I52" s="292"/>
    </row>
    <row r="53" spans="1:9">
      <c r="A53" s="842" t="s">
        <v>827</v>
      </c>
      <c r="B53" s="842" t="s">
        <v>16573</v>
      </c>
      <c r="C53" s="292" t="s">
        <v>16574</v>
      </c>
      <c r="D53" s="293">
        <v>3401</v>
      </c>
      <c r="F53" s="842" t="s">
        <v>16559</v>
      </c>
      <c r="G53" s="292"/>
      <c r="I53" s="292"/>
    </row>
    <row r="54" spans="1:9">
      <c r="A54" s="842" t="s">
        <v>828</v>
      </c>
      <c r="B54" s="842" t="s">
        <v>16575</v>
      </c>
      <c r="C54" s="292" t="s">
        <v>16576</v>
      </c>
      <c r="D54" s="293">
        <v>3248</v>
      </c>
      <c r="F54" s="842" t="s">
        <v>16559</v>
      </c>
      <c r="G54" s="292"/>
      <c r="I54" s="292"/>
    </row>
    <row r="55" spans="1:9">
      <c r="A55" s="842" t="s">
        <v>829</v>
      </c>
      <c r="B55" s="842" t="s">
        <v>16577</v>
      </c>
      <c r="C55" s="292" t="s">
        <v>16578</v>
      </c>
      <c r="D55" s="293">
        <v>3353</v>
      </c>
      <c r="F55" s="842" t="s">
        <v>16559</v>
      </c>
      <c r="G55" s="292"/>
      <c r="I55" s="292"/>
    </row>
    <row r="56" spans="1:9">
      <c r="A56" s="842" t="s">
        <v>830</v>
      </c>
      <c r="B56" s="842" t="s">
        <v>5043</v>
      </c>
      <c r="C56" s="292" t="s">
        <v>16579</v>
      </c>
      <c r="D56" s="293">
        <v>3526</v>
      </c>
      <c r="F56" s="842" t="s">
        <v>16559</v>
      </c>
      <c r="G56" s="292"/>
      <c r="I56" s="292"/>
    </row>
    <row r="57" spans="1:9">
      <c r="A57" s="842" t="s">
        <v>831</v>
      </c>
      <c r="B57" s="842" t="s">
        <v>3222</v>
      </c>
      <c r="C57" s="292" t="s">
        <v>16580</v>
      </c>
      <c r="D57" s="293">
        <v>3027</v>
      </c>
      <c r="F57" s="842" t="s">
        <v>16559</v>
      </c>
      <c r="G57" s="292"/>
      <c r="I57" s="292"/>
    </row>
    <row r="58" spans="1:9">
      <c r="A58" s="842" t="s">
        <v>832</v>
      </c>
      <c r="B58" s="842" t="s">
        <v>16581</v>
      </c>
      <c r="C58" s="292" t="s">
        <v>16582</v>
      </c>
      <c r="D58" s="293">
        <v>2862</v>
      </c>
      <c r="F58" s="842" t="s">
        <v>16559</v>
      </c>
      <c r="G58" s="292"/>
      <c r="I58" s="292"/>
    </row>
    <row r="59" spans="1:9">
      <c r="A59" s="842" t="s">
        <v>833</v>
      </c>
      <c r="B59" s="842" t="s">
        <v>16583</v>
      </c>
      <c r="C59" s="292" t="s">
        <v>16584</v>
      </c>
      <c r="D59" s="293">
        <v>3341</v>
      </c>
      <c r="F59" s="842" t="s">
        <v>16559</v>
      </c>
      <c r="G59" s="292"/>
      <c r="I59" s="292"/>
    </row>
    <row r="60" spans="1:9">
      <c r="A60" s="842" t="s">
        <v>834</v>
      </c>
      <c r="B60" s="842" t="s">
        <v>16585</v>
      </c>
      <c r="C60" s="292" t="s">
        <v>16586</v>
      </c>
      <c r="D60" s="293">
        <v>4455</v>
      </c>
      <c r="F60" s="842" t="s">
        <v>16559</v>
      </c>
      <c r="G60" s="292"/>
      <c r="I60" s="292"/>
    </row>
    <row r="61" spans="1:9">
      <c r="D61" s="846"/>
    </row>
    <row r="62" spans="1:9">
      <c r="A62" s="842" t="s">
        <v>16587</v>
      </c>
      <c r="D62" s="845">
        <f t="shared" ref="D62" si="28">SUM(D47:D60)</f>
        <v>46643</v>
      </c>
    </row>
    <row r="63" spans="1:9">
      <c r="A63" s="842"/>
      <c r="D63" s="845"/>
    </row>
    <row r="64" spans="1:9">
      <c r="A64" s="842" t="s">
        <v>16588</v>
      </c>
      <c r="D64" s="845"/>
    </row>
    <row r="65" spans="1:9">
      <c r="A65" s="842"/>
      <c r="B65" s="842"/>
      <c r="D65" s="849"/>
    </row>
    <row r="66" spans="1:9">
      <c r="A66" s="842"/>
      <c r="B66" s="842"/>
      <c r="D66" s="849"/>
    </row>
    <row r="67" spans="1:9">
      <c r="D67" s="10" t="s">
        <v>285</v>
      </c>
      <c r="E67" s="11"/>
      <c r="F67" s="5" t="s">
        <v>4116</v>
      </c>
    </row>
    <row r="68" spans="1:9">
      <c r="D68" s="844">
        <v>2016</v>
      </c>
      <c r="F68" s="12" t="s">
        <v>286</v>
      </c>
    </row>
    <row r="69" spans="1:9">
      <c r="A69" s="842" t="s">
        <v>16589</v>
      </c>
      <c r="D69" s="845">
        <f>SUM(D70:D79)+SUM(D80:D92)</f>
        <v>113193</v>
      </c>
      <c r="E69" s="845"/>
    </row>
    <row r="70" spans="1:9">
      <c r="A70" s="842" t="s">
        <v>812</v>
      </c>
      <c r="B70" s="842" t="s">
        <v>16590</v>
      </c>
      <c r="C70" s="292" t="s">
        <v>16591</v>
      </c>
      <c r="D70" s="316">
        <v>4416</v>
      </c>
      <c r="E70" s="846"/>
      <c r="F70" s="842" t="s">
        <v>16556</v>
      </c>
      <c r="G70" s="292"/>
      <c r="I70" s="292"/>
    </row>
    <row r="71" spans="1:9">
      <c r="A71" s="842" t="s">
        <v>813</v>
      </c>
      <c r="B71" s="842" t="s">
        <v>16592</v>
      </c>
      <c r="C71" s="292" t="s">
        <v>16593</v>
      </c>
      <c r="D71" s="316">
        <v>4972</v>
      </c>
      <c r="E71" s="846"/>
      <c r="F71" s="842" t="s">
        <v>16556</v>
      </c>
      <c r="G71" s="292"/>
      <c r="I71" s="292"/>
    </row>
    <row r="72" spans="1:9">
      <c r="A72" s="842" t="s">
        <v>814</v>
      </c>
      <c r="B72" s="842" t="s">
        <v>16594</v>
      </c>
      <c r="C72" s="292" t="s">
        <v>16595</v>
      </c>
      <c r="D72" s="316">
        <v>7003</v>
      </c>
      <c r="E72" s="846"/>
      <c r="F72" s="842" t="s">
        <v>16551</v>
      </c>
      <c r="G72" s="292"/>
      <c r="I72" s="292"/>
    </row>
    <row r="73" spans="1:9">
      <c r="A73" s="842" t="s">
        <v>815</v>
      </c>
      <c r="B73" s="842" t="s">
        <v>16596</v>
      </c>
      <c r="C73" s="292" t="s">
        <v>16597</v>
      </c>
      <c r="D73" s="316">
        <v>6240</v>
      </c>
      <c r="E73" s="846"/>
      <c r="F73" s="842" t="s">
        <v>16551</v>
      </c>
      <c r="G73" s="292"/>
      <c r="I73" s="292"/>
    </row>
    <row r="74" spans="1:9">
      <c r="A74" s="842" t="s">
        <v>816</v>
      </c>
      <c r="B74" s="842" t="s">
        <v>16598</v>
      </c>
      <c r="C74" s="292" t="s">
        <v>16599</v>
      </c>
      <c r="D74" s="316">
        <v>5999</v>
      </c>
      <c r="E74" s="846"/>
      <c r="F74" s="842" t="s">
        <v>16556</v>
      </c>
      <c r="G74" s="292"/>
      <c r="I74" s="292"/>
    </row>
    <row r="75" spans="1:9">
      <c r="A75" s="842" t="s">
        <v>826</v>
      </c>
      <c r="B75" s="842" t="s">
        <v>16600</v>
      </c>
      <c r="C75" s="292" t="s">
        <v>16601</v>
      </c>
      <c r="D75" s="316">
        <v>3674</v>
      </c>
      <c r="E75" s="846"/>
      <c r="F75" s="842" t="s">
        <v>16556</v>
      </c>
      <c r="G75" s="292"/>
      <c r="I75" s="292"/>
    </row>
    <row r="76" spans="1:9">
      <c r="A76" s="842" t="s">
        <v>827</v>
      </c>
      <c r="B76" s="842" t="s">
        <v>16602</v>
      </c>
      <c r="C76" s="292" t="s">
        <v>16603</v>
      </c>
      <c r="D76" s="316">
        <v>6177</v>
      </c>
      <c r="E76" s="846"/>
      <c r="F76" s="842" t="s">
        <v>16556</v>
      </c>
      <c r="G76" s="292"/>
      <c r="I76" s="292"/>
    </row>
    <row r="77" spans="1:9">
      <c r="A77" s="842" t="s">
        <v>828</v>
      </c>
      <c r="B77" s="842" t="s">
        <v>13185</v>
      </c>
      <c r="C77" s="292" t="s">
        <v>16604</v>
      </c>
      <c r="D77" s="316">
        <v>4490</v>
      </c>
      <c r="E77" s="846"/>
      <c r="F77" s="842" t="s">
        <v>16556</v>
      </c>
      <c r="G77" s="292"/>
      <c r="I77" s="292"/>
    </row>
    <row r="78" spans="1:9">
      <c r="A78" s="842" t="s">
        <v>829</v>
      </c>
      <c r="B78" s="843" t="s">
        <v>16605</v>
      </c>
      <c r="C78" s="292" t="s">
        <v>16606</v>
      </c>
      <c r="D78" s="316">
        <v>5579</v>
      </c>
      <c r="E78" s="846"/>
      <c r="F78" s="843" t="s">
        <v>16556</v>
      </c>
      <c r="G78" s="292"/>
      <c r="I78" s="292"/>
    </row>
    <row r="79" spans="1:9">
      <c r="A79" s="842" t="s">
        <v>830</v>
      </c>
      <c r="B79" s="842" t="s">
        <v>16607</v>
      </c>
      <c r="C79" s="292" t="s">
        <v>16608</v>
      </c>
      <c r="D79" s="316">
        <v>6705</v>
      </c>
      <c r="E79" s="846"/>
      <c r="F79" s="842" t="s">
        <v>16563</v>
      </c>
      <c r="G79" s="292"/>
      <c r="I79" s="292"/>
    </row>
    <row r="80" spans="1:9">
      <c r="A80" s="842" t="s">
        <v>831</v>
      </c>
      <c r="B80" s="842" t="s">
        <v>16609</v>
      </c>
      <c r="C80" s="292" t="s">
        <v>16610</v>
      </c>
      <c r="D80" s="316">
        <v>4566</v>
      </c>
      <c r="F80" s="842" t="s">
        <v>16556</v>
      </c>
      <c r="G80" s="292"/>
      <c r="I80" s="292"/>
    </row>
    <row r="81" spans="1:9">
      <c r="A81" s="842" t="s">
        <v>832</v>
      </c>
      <c r="B81" s="842" t="s">
        <v>16611</v>
      </c>
      <c r="C81" s="292" t="s">
        <v>16612</v>
      </c>
      <c r="D81" s="316">
        <v>4111</v>
      </c>
      <c r="F81" s="842" t="s">
        <v>16556</v>
      </c>
      <c r="G81" s="292"/>
      <c r="I81" s="292"/>
    </row>
    <row r="82" spans="1:9">
      <c r="A82" s="842" t="s">
        <v>833</v>
      </c>
      <c r="B82" s="842" t="s">
        <v>16613</v>
      </c>
      <c r="C82" s="292" t="s">
        <v>16614</v>
      </c>
      <c r="D82" s="316">
        <v>3975</v>
      </c>
      <c r="F82" s="842" t="s">
        <v>16563</v>
      </c>
      <c r="G82" s="292"/>
      <c r="I82" s="292"/>
    </row>
    <row r="83" spans="1:9">
      <c r="A83" s="842" t="s">
        <v>834</v>
      </c>
      <c r="B83" s="842" t="s">
        <v>16615</v>
      </c>
      <c r="C83" s="292" t="s">
        <v>16616</v>
      </c>
      <c r="D83" s="316">
        <v>3458</v>
      </c>
      <c r="F83" s="842" t="s">
        <v>16556</v>
      </c>
      <c r="G83" s="292"/>
      <c r="I83" s="292"/>
    </row>
    <row r="84" spans="1:9">
      <c r="A84" s="842" t="s">
        <v>835</v>
      </c>
      <c r="B84" s="842" t="s">
        <v>16573</v>
      </c>
      <c r="C84" s="292" t="s">
        <v>16617</v>
      </c>
      <c r="D84" s="316">
        <v>3632</v>
      </c>
      <c r="F84" s="842" t="s">
        <v>16556</v>
      </c>
      <c r="G84" s="292"/>
      <c r="I84" s="292"/>
    </row>
    <row r="85" spans="1:9">
      <c r="A85" s="842" t="s">
        <v>836</v>
      </c>
      <c r="B85" s="842" t="s">
        <v>16618</v>
      </c>
      <c r="C85" s="292" t="s">
        <v>16619</v>
      </c>
      <c r="D85" s="316">
        <v>4130</v>
      </c>
      <c r="F85" s="842" t="s">
        <v>16556</v>
      </c>
      <c r="G85" s="292"/>
      <c r="I85" s="292"/>
    </row>
    <row r="86" spans="1:9">
      <c r="A86" s="842" t="s">
        <v>837</v>
      </c>
      <c r="B86" s="842" t="s">
        <v>16620</v>
      </c>
      <c r="C86" s="292" t="s">
        <v>16621</v>
      </c>
      <c r="D86" s="316">
        <v>3981</v>
      </c>
      <c r="F86" s="842" t="s">
        <v>16556</v>
      </c>
      <c r="G86" s="292"/>
      <c r="I86" s="292"/>
    </row>
    <row r="87" spans="1:9">
      <c r="A87" s="842" t="s">
        <v>838</v>
      </c>
      <c r="B87" s="842" t="s">
        <v>16622</v>
      </c>
      <c r="C87" s="292" t="s">
        <v>16623</v>
      </c>
      <c r="D87" s="316">
        <v>4927</v>
      </c>
      <c r="F87" s="842" t="s">
        <v>16556</v>
      </c>
      <c r="G87" s="292"/>
      <c r="I87" s="292"/>
    </row>
    <row r="88" spans="1:9">
      <c r="A88" s="842" t="s">
        <v>840</v>
      </c>
      <c r="B88" s="842" t="s">
        <v>16624</v>
      </c>
      <c r="C88" s="292" t="s">
        <v>16625</v>
      </c>
      <c r="D88" s="316">
        <v>3624</v>
      </c>
      <c r="F88" s="842" t="s">
        <v>16556</v>
      </c>
      <c r="G88" s="292"/>
      <c r="I88" s="292"/>
    </row>
    <row r="89" spans="1:9">
      <c r="A89" s="842" t="s">
        <v>841</v>
      </c>
      <c r="B89" s="842" t="s">
        <v>9205</v>
      </c>
      <c r="C89" s="292" t="s">
        <v>16626</v>
      </c>
      <c r="D89" s="316">
        <v>6192</v>
      </c>
      <c r="F89" s="842" t="s">
        <v>16556</v>
      </c>
      <c r="G89" s="292"/>
      <c r="I89" s="292"/>
    </row>
    <row r="90" spans="1:9">
      <c r="A90" s="842" t="s">
        <v>878</v>
      </c>
      <c r="B90" s="842" t="s">
        <v>16627</v>
      </c>
      <c r="C90" s="292" t="s">
        <v>16628</v>
      </c>
      <c r="D90" s="316">
        <v>4431</v>
      </c>
      <c r="F90" s="842" t="s">
        <v>16563</v>
      </c>
      <c r="G90" s="292"/>
      <c r="I90" s="292"/>
    </row>
    <row r="91" spans="1:9">
      <c r="A91" s="842" t="s">
        <v>879</v>
      </c>
      <c r="B91" s="842" t="s">
        <v>16629</v>
      </c>
      <c r="C91" s="292" t="s">
        <v>16630</v>
      </c>
      <c r="D91" s="316">
        <v>6650</v>
      </c>
      <c r="F91" s="842" t="s">
        <v>16563</v>
      </c>
      <c r="G91" s="292"/>
      <c r="I91" s="292"/>
    </row>
    <row r="92" spans="1:9">
      <c r="A92" s="842" t="s">
        <v>880</v>
      </c>
      <c r="B92" s="842" t="s">
        <v>16631</v>
      </c>
      <c r="C92" s="292" t="s">
        <v>16632</v>
      </c>
      <c r="D92" s="316">
        <v>4261</v>
      </c>
      <c r="F92" s="842" t="s">
        <v>16556</v>
      </c>
      <c r="G92" s="292"/>
      <c r="I92" s="292"/>
    </row>
    <row r="93" spans="1:9">
      <c r="D93" s="846"/>
    </row>
    <row r="94" spans="1:9">
      <c r="A94" s="842" t="s">
        <v>16633</v>
      </c>
      <c r="D94" s="845">
        <f>D72+D73</f>
        <v>13243</v>
      </c>
    </row>
    <row r="95" spans="1:9">
      <c r="A95" s="842" t="s">
        <v>16556</v>
      </c>
      <c r="D95" s="845">
        <f>D70+D71+SUM(D74:D78)+D80+D81+SUM(D83:D89)+D92</f>
        <v>78189</v>
      </c>
      <c r="E95" s="845"/>
    </row>
    <row r="96" spans="1:9">
      <c r="A96" s="842" t="s">
        <v>16634</v>
      </c>
      <c r="D96" s="845">
        <f>D79+D82+D90+D91</f>
        <v>21761</v>
      </c>
    </row>
    <row r="97" spans="1:9">
      <c r="A97" s="842"/>
      <c r="D97" s="845"/>
    </row>
    <row r="98" spans="1:9">
      <c r="A98" s="842" t="s">
        <v>16635</v>
      </c>
      <c r="D98" s="845"/>
    </row>
    <row r="99" spans="1:9">
      <c r="A99" s="842"/>
      <c r="B99" s="842"/>
      <c r="D99" s="849"/>
    </row>
    <row r="100" spans="1:9">
      <c r="A100" s="842"/>
      <c r="B100" s="842"/>
      <c r="D100" s="849"/>
    </row>
    <row r="101" spans="1:9">
      <c r="D101" s="10" t="s">
        <v>285</v>
      </c>
      <c r="E101" s="11"/>
      <c r="F101" s="5" t="s">
        <v>4116</v>
      </c>
    </row>
    <row r="102" spans="1:9">
      <c r="D102" s="844">
        <v>2016</v>
      </c>
      <c r="F102" s="12" t="s">
        <v>286</v>
      </c>
    </row>
    <row r="103" spans="1:9">
      <c r="A103" s="842" t="s">
        <v>16636</v>
      </c>
      <c r="D103" s="845">
        <f t="shared" ref="D103" si="29">SUM(D104:D132)</f>
        <v>85960</v>
      </c>
    </row>
    <row r="104" spans="1:9">
      <c r="A104" s="842" t="s">
        <v>812</v>
      </c>
      <c r="B104" s="842" t="s">
        <v>16637</v>
      </c>
      <c r="C104" s="292" t="s">
        <v>16638</v>
      </c>
      <c r="D104" s="293">
        <v>3500</v>
      </c>
      <c r="F104" s="842" t="s">
        <v>16557</v>
      </c>
      <c r="G104" s="292"/>
      <c r="I104" s="292"/>
    </row>
    <row r="105" spans="1:9">
      <c r="A105" s="842" t="s">
        <v>813</v>
      </c>
      <c r="B105" s="842" t="s">
        <v>16639</v>
      </c>
      <c r="C105" s="292" t="s">
        <v>16640</v>
      </c>
      <c r="D105" s="293">
        <v>1670</v>
      </c>
      <c r="F105" s="842" t="s">
        <v>16557</v>
      </c>
      <c r="G105" s="292"/>
      <c r="I105" s="292"/>
    </row>
    <row r="106" spans="1:9">
      <c r="A106" s="842" t="s">
        <v>814</v>
      </c>
      <c r="B106" s="842" t="s">
        <v>11664</v>
      </c>
      <c r="C106" s="292" t="s">
        <v>16641</v>
      </c>
      <c r="D106" s="293">
        <v>1702</v>
      </c>
      <c r="F106" s="842" t="s">
        <v>16551</v>
      </c>
      <c r="G106" s="292"/>
      <c r="I106" s="292"/>
    </row>
    <row r="107" spans="1:9">
      <c r="A107" s="842" t="s">
        <v>815</v>
      </c>
      <c r="B107" s="842" t="s">
        <v>16642</v>
      </c>
      <c r="C107" s="292" t="s">
        <v>16643</v>
      </c>
      <c r="D107" s="293">
        <v>5563</v>
      </c>
      <c r="F107" s="842" t="s">
        <v>16557</v>
      </c>
      <c r="G107" s="292"/>
      <c r="I107" s="292"/>
    </row>
    <row r="108" spans="1:9">
      <c r="A108" s="842" t="s">
        <v>816</v>
      </c>
      <c r="B108" s="842" t="s">
        <v>16644</v>
      </c>
      <c r="C108" s="292" t="s">
        <v>16645</v>
      </c>
      <c r="D108" s="293">
        <v>5144</v>
      </c>
      <c r="F108" s="842" t="s">
        <v>16557</v>
      </c>
      <c r="G108" s="292"/>
      <c r="I108" s="292"/>
    </row>
    <row r="109" spans="1:9">
      <c r="A109" s="842" t="s">
        <v>826</v>
      </c>
      <c r="B109" s="842" t="s">
        <v>16646</v>
      </c>
      <c r="C109" s="292" t="s">
        <v>16647</v>
      </c>
      <c r="D109" s="293">
        <v>5042</v>
      </c>
      <c r="F109" s="842" t="s">
        <v>16557</v>
      </c>
      <c r="G109" s="292"/>
      <c r="I109" s="292"/>
    </row>
    <row r="110" spans="1:9">
      <c r="A110" s="842" t="s">
        <v>827</v>
      </c>
      <c r="B110" s="842" t="s">
        <v>16648</v>
      </c>
      <c r="C110" s="292" t="s">
        <v>16649</v>
      </c>
      <c r="D110" s="293">
        <v>3605</v>
      </c>
      <c r="F110" s="842" t="s">
        <v>16557</v>
      </c>
      <c r="G110" s="292"/>
      <c r="I110" s="292"/>
    </row>
    <row r="111" spans="1:9">
      <c r="A111" s="842" t="s">
        <v>828</v>
      </c>
      <c r="B111" s="842" t="s">
        <v>2652</v>
      </c>
      <c r="C111" s="292" t="s">
        <v>16650</v>
      </c>
      <c r="D111" s="293">
        <v>1808</v>
      </c>
      <c r="F111" s="842" t="s">
        <v>16557</v>
      </c>
      <c r="G111" s="292"/>
      <c r="I111" s="292"/>
    </row>
    <row r="112" spans="1:9">
      <c r="A112" s="842" t="s">
        <v>829</v>
      </c>
      <c r="B112" s="842" t="s">
        <v>16651</v>
      </c>
      <c r="C112" s="292" t="s">
        <v>16652</v>
      </c>
      <c r="D112" s="293">
        <v>1893</v>
      </c>
      <c r="F112" s="842" t="s">
        <v>16557</v>
      </c>
      <c r="G112" s="292"/>
      <c r="I112" s="292"/>
    </row>
    <row r="113" spans="1:9">
      <c r="A113" s="842" t="s">
        <v>830</v>
      </c>
      <c r="B113" s="842" t="s">
        <v>16653</v>
      </c>
      <c r="C113" s="292" t="s">
        <v>16654</v>
      </c>
      <c r="D113" s="293">
        <v>3911</v>
      </c>
      <c r="F113" s="842" t="s">
        <v>16557</v>
      </c>
      <c r="G113" s="292"/>
      <c r="I113" s="292"/>
    </row>
    <row r="114" spans="1:9">
      <c r="A114" s="842" t="s">
        <v>831</v>
      </c>
      <c r="B114" s="842" t="s">
        <v>12877</v>
      </c>
      <c r="C114" s="292" t="s">
        <v>16655</v>
      </c>
      <c r="D114" s="293">
        <v>3895</v>
      </c>
      <c r="F114" s="842" t="s">
        <v>16557</v>
      </c>
      <c r="G114" s="292"/>
      <c r="I114" s="292"/>
    </row>
    <row r="115" spans="1:9">
      <c r="A115" s="842" t="s">
        <v>832</v>
      </c>
      <c r="B115" s="842" t="s">
        <v>16656</v>
      </c>
      <c r="C115" s="292" t="s">
        <v>16657</v>
      </c>
      <c r="D115" s="293">
        <v>1811</v>
      </c>
      <c r="F115" s="842" t="s">
        <v>16557</v>
      </c>
      <c r="G115" s="292"/>
      <c r="I115" s="292"/>
    </row>
    <row r="116" spans="1:9">
      <c r="A116" s="842" t="s">
        <v>833</v>
      </c>
      <c r="B116" s="842" t="s">
        <v>16658</v>
      </c>
      <c r="C116" s="292" t="s">
        <v>16659</v>
      </c>
      <c r="D116" s="293">
        <v>2131</v>
      </c>
      <c r="F116" s="842" t="s">
        <v>16557</v>
      </c>
      <c r="G116" s="292"/>
      <c r="I116" s="292"/>
    </row>
    <row r="117" spans="1:9">
      <c r="A117" s="842" t="s">
        <v>834</v>
      </c>
      <c r="B117" s="842" t="s">
        <v>16660</v>
      </c>
      <c r="C117" s="292" t="s">
        <v>16661</v>
      </c>
      <c r="D117" s="295">
        <v>1611</v>
      </c>
      <c r="F117" s="842" t="s">
        <v>16557</v>
      </c>
      <c r="G117" s="292"/>
      <c r="I117" s="292"/>
    </row>
    <row r="118" spans="1:9">
      <c r="A118" s="842" t="s">
        <v>835</v>
      </c>
      <c r="B118" s="842" t="s">
        <v>16662</v>
      </c>
      <c r="C118" s="292" t="s">
        <v>16663</v>
      </c>
      <c r="D118" s="295">
        <v>1822</v>
      </c>
      <c r="F118" s="842" t="s">
        <v>16557</v>
      </c>
      <c r="G118" s="292"/>
      <c r="I118" s="292"/>
    </row>
    <row r="119" spans="1:9">
      <c r="A119" s="842" t="s">
        <v>836</v>
      </c>
      <c r="B119" s="842" t="s">
        <v>16664</v>
      </c>
      <c r="C119" s="292" t="s">
        <v>16665</v>
      </c>
      <c r="D119" s="295">
        <v>3693</v>
      </c>
      <c r="F119" s="842" t="s">
        <v>16557</v>
      </c>
      <c r="G119" s="292"/>
      <c r="I119" s="292"/>
    </row>
    <row r="120" spans="1:9">
      <c r="A120" s="842" t="s">
        <v>837</v>
      </c>
      <c r="B120" s="842" t="s">
        <v>16666</v>
      </c>
      <c r="C120" s="292" t="s">
        <v>16667</v>
      </c>
      <c r="D120" s="295">
        <v>1698</v>
      </c>
      <c r="F120" s="842" t="s">
        <v>16557</v>
      </c>
      <c r="G120" s="292"/>
      <c r="I120" s="292"/>
    </row>
    <row r="121" spans="1:9">
      <c r="A121" s="842" t="s">
        <v>838</v>
      </c>
      <c r="B121" s="842" t="s">
        <v>16668</v>
      </c>
      <c r="C121" s="292" t="s">
        <v>16669</v>
      </c>
      <c r="D121" s="293">
        <v>3609</v>
      </c>
      <c r="F121" s="842" t="s">
        <v>16551</v>
      </c>
      <c r="G121" s="292"/>
      <c r="I121" s="292"/>
    </row>
    <row r="122" spans="1:9">
      <c r="A122" s="842" t="s">
        <v>840</v>
      </c>
      <c r="B122" s="842" t="s">
        <v>16670</v>
      </c>
      <c r="C122" s="292" t="s">
        <v>16671</v>
      </c>
      <c r="D122" s="295">
        <v>3649</v>
      </c>
      <c r="F122" s="842" t="s">
        <v>16551</v>
      </c>
      <c r="G122" s="292"/>
      <c r="I122" s="292"/>
    </row>
    <row r="123" spans="1:9">
      <c r="A123" s="842" t="s">
        <v>841</v>
      </c>
      <c r="B123" s="842" t="s">
        <v>16672</v>
      </c>
      <c r="C123" s="292" t="s">
        <v>16673</v>
      </c>
      <c r="D123" s="295">
        <v>1859</v>
      </c>
      <c r="F123" s="842" t="s">
        <v>16557</v>
      </c>
      <c r="G123" s="292"/>
      <c r="I123" s="292"/>
    </row>
    <row r="124" spans="1:9">
      <c r="A124" s="842" t="s">
        <v>878</v>
      </c>
      <c r="B124" s="842" t="s">
        <v>16674</v>
      </c>
      <c r="C124" s="292" t="s">
        <v>16675</v>
      </c>
      <c r="D124" s="295">
        <v>4821</v>
      </c>
      <c r="F124" s="842" t="s">
        <v>16557</v>
      </c>
      <c r="G124" s="292"/>
      <c r="I124" s="292"/>
    </row>
    <row r="125" spans="1:9">
      <c r="A125" s="842" t="s">
        <v>879</v>
      </c>
      <c r="B125" s="842" t="s">
        <v>16676</v>
      </c>
      <c r="C125" s="292" t="s">
        <v>16677</v>
      </c>
      <c r="D125" s="295">
        <v>3362</v>
      </c>
      <c r="F125" s="842" t="s">
        <v>16557</v>
      </c>
      <c r="G125" s="292"/>
      <c r="I125" s="292"/>
    </row>
    <row r="126" spans="1:9">
      <c r="A126" s="842" t="s">
        <v>880</v>
      </c>
      <c r="B126" s="842" t="s">
        <v>16678</v>
      </c>
      <c r="C126" s="292" t="s">
        <v>16679</v>
      </c>
      <c r="D126" s="295">
        <v>1816</v>
      </c>
      <c r="F126" s="842" t="s">
        <v>16557</v>
      </c>
      <c r="G126" s="292"/>
      <c r="I126" s="292"/>
    </row>
    <row r="127" spans="1:9">
      <c r="A127" s="842" t="s">
        <v>721</v>
      </c>
      <c r="B127" s="842" t="s">
        <v>16680</v>
      </c>
      <c r="C127" s="292" t="s">
        <v>16681</v>
      </c>
      <c r="D127" s="295">
        <v>5340</v>
      </c>
      <c r="F127" s="842" t="s">
        <v>16557</v>
      </c>
      <c r="G127" s="292"/>
      <c r="I127" s="292"/>
    </row>
    <row r="128" spans="1:9">
      <c r="A128" s="842" t="s">
        <v>722</v>
      </c>
      <c r="B128" s="842" t="s">
        <v>16682</v>
      </c>
      <c r="C128" s="292" t="s">
        <v>16683</v>
      </c>
      <c r="D128" s="295">
        <v>1706</v>
      </c>
      <c r="F128" s="842" t="s">
        <v>16557</v>
      </c>
      <c r="G128" s="292"/>
      <c r="I128" s="292"/>
    </row>
    <row r="129" spans="1:9">
      <c r="A129" s="842" t="s">
        <v>723</v>
      </c>
      <c r="B129" s="842" t="s">
        <v>16684</v>
      </c>
      <c r="C129" s="292" t="s">
        <v>16685</v>
      </c>
      <c r="D129" s="295">
        <v>1865</v>
      </c>
      <c r="F129" s="842" t="s">
        <v>16557</v>
      </c>
      <c r="G129" s="292"/>
      <c r="I129" s="292"/>
    </row>
    <row r="130" spans="1:9">
      <c r="A130" s="850">
        <v>27</v>
      </c>
      <c r="B130" s="842" t="s">
        <v>16686</v>
      </c>
      <c r="C130" s="292" t="s">
        <v>16687</v>
      </c>
      <c r="D130" s="295">
        <v>3776</v>
      </c>
      <c r="F130" s="842" t="s">
        <v>16557</v>
      </c>
      <c r="G130" s="292"/>
      <c r="I130" s="292"/>
    </row>
    <row r="131" spans="1:9">
      <c r="A131" s="850">
        <v>28</v>
      </c>
      <c r="B131" s="842" t="s">
        <v>10565</v>
      </c>
      <c r="C131" s="292" t="s">
        <v>16688</v>
      </c>
      <c r="D131" s="295">
        <v>1745</v>
      </c>
      <c r="F131" s="842" t="s">
        <v>16557</v>
      </c>
      <c r="G131" s="292"/>
      <c r="I131" s="292"/>
    </row>
    <row r="132" spans="1:9">
      <c r="A132" s="842" t="s">
        <v>735</v>
      </c>
      <c r="B132" s="842" t="s">
        <v>16689</v>
      </c>
      <c r="C132" s="292" t="s">
        <v>16690</v>
      </c>
      <c r="D132" s="293">
        <v>1913</v>
      </c>
      <c r="F132" s="842" t="s">
        <v>16551</v>
      </c>
      <c r="G132" s="292"/>
      <c r="I132" s="292"/>
    </row>
    <row r="133" spans="1:9">
      <c r="D133" s="846"/>
    </row>
    <row r="134" spans="1:9">
      <c r="A134" s="842" t="s">
        <v>16633</v>
      </c>
      <c r="D134" s="845">
        <f>D106+D121+D122+D132</f>
        <v>10873</v>
      </c>
    </row>
    <row r="135" spans="1:9">
      <c r="A135" s="842" t="s">
        <v>16557</v>
      </c>
      <c r="D135" s="845">
        <f>D104+D105+SUM(D107:D120)+SUM(D123:D131)</f>
        <v>75087</v>
      </c>
    </row>
    <row r="136" spans="1:9">
      <c r="A136" s="842"/>
      <c r="D136" s="845"/>
    </row>
    <row r="137" spans="1:9">
      <c r="A137" s="842" t="s">
        <v>16691</v>
      </c>
      <c r="D137" s="845"/>
    </row>
    <row r="138" spans="1:9">
      <c r="A138" s="842"/>
      <c r="B138" s="842"/>
      <c r="D138" s="849"/>
    </row>
    <row r="139" spans="1:9">
      <c r="A139" s="842"/>
      <c r="B139" s="842"/>
      <c r="D139" s="849"/>
    </row>
    <row r="140" spans="1:9">
      <c r="D140" s="10" t="s">
        <v>285</v>
      </c>
      <c r="E140" s="11"/>
      <c r="F140" s="5" t="s">
        <v>4116</v>
      </c>
    </row>
    <row r="141" spans="1:9">
      <c r="D141" s="844">
        <v>2016</v>
      </c>
      <c r="F141" s="12" t="s">
        <v>286</v>
      </c>
    </row>
    <row r="142" spans="1:9">
      <c r="A142" s="842" t="s">
        <v>16692</v>
      </c>
      <c r="D142" s="845">
        <f t="shared" ref="D142" si="30">SUM(D143:D157)</f>
        <v>70578</v>
      </c>
    </row>
    <row r="143" spans="1:9">
      <c r="A143" s="842" t="s">
        <v>812</v>
      </c>
      <c r="B143" s="842" t="s">
        <v>16693</v>
      </c>
      <c r="C143" s="292" t="s">
        <v>16694</v>
      </c>
      <c r="D143" s="293">
        <v>5442</v>
      </c>
      <c r="F143" s="842" t="s">
        <v>16558</v>
      </c>
      <c r="G143" s="292"/>
      <c r="I143" s="292"/>
    </row>
    <row r="144" spans="1:9">
      <c r="A144" s="842" t="s">
        <v>813</v>
      </c>
      <c r="B144" s="842" t="s">
        <v>16695</v>
      </c>
      <c r="C144" s="292" t="s">
        <v>16696</v>
      </c>
      <c r="D144" s="293">
        <v>3998</v>
      </c>
      <c r="F144" s="842" t="s">
        <v>16558</v>
      </c>
      <c r="G144" s="292"/>
      <c r="I144" s="292"/>
    </row>
    <row r="145" spans="1:9">
      <c r="A145" s="842" t="s">
        <v>814</v>
      </c>
      <c r="B145" s="842" t="s">
        <v>16697</v>
      </c>
      <c r="C145" s="292" t="s">
        <v>16698</v>
      </c>
      <c r="D145" s="293">
        <v>3951</v>
      </c>
      <c r="F145" s="842" t="s">
        <v>16558</v>
      </c>
      <c r="G145" s="292"/>
      <c r="I145" s="292"/>
    </row>
    <row r="146" spans="1:9">
      <c r="A146" s="842" t="s">
        <v>815</v>
      </c>
      <c r="B146" s="842" t="s">
        <v>16699</v>
      </c>
      <c r="C146" s="292" t="s">
        <v>16700</v>
      </c>
      <c r="D146" s="293">
        <v>4223</v>
      </c>
      <c r="F146" s="842" t="s">
        <v>16558</v>
      </c>
      <c r="G146" s="292"/>
      <c r="I146" s="292"/>
    </row>
    <row r="147" spans="1:9">
      <c r="A147" s="842" t="s">
        <v>816</v>
      </c>
      <c r="B147" s="842" t="s">
        <v>16701</v>
      </c>
      <c r="C147" s="292" t="s">
        <v>16702</v>
      </c>
      <c r="D147" s="293">
        <v>3720</v>
      </c>
      <c r="F147" s="842" t="s">
        <v>16558</v>
      </c>
      <c r="G147" s="292"/>
      <c r="I147" s="292"/>
    </row>
    <row r="148" spans="1:9">
      <c r="A148" s="842" t="s">
        <v>826</v>
      </c>
      <c r="B148" s="842" t="s">
        <v>16703</v>
      </c>
      <c r="C148" s="292" t="s">
        <v>16704</v>
      </c>
      <c r="D148" s="293">
        <v>6170</v>
      </c>
      <c r="F148" s="842" t="s">
        <v>16558</v>
      </c>
      <c r="G148" s="292"/>
      <c r="I148" s="292"/>
    </row>
    <row r="149" spans="1:9">
      <c r="A149" s="842" t="s">
        <v>827</v>
      </c>
      <c r="B149" s="842" t="s">
        <v>16705</v>
      </c>
      <c r="C149" s="292" t="s">
        <v>16706</v>
      </c>
      <c r="D149" s="293">
        <v>5022</v>
      </c>
      <c r="F149" s="842" t="s">
        <v>16558</v>
      </c>
      <c r="G149" s="292"/>
      <c r="I149" s="292"/>
    </row>
    <row r="150" spans="1:9">
      <c r="A150" s="842" t="s">
        <v>828</v>
      </c>
      <c r="B150" s="842" t="s">
        <v>16707</v>
      </c>
      <c r="C150" s="292" t="s">
        <v>16708</v>
      </c>
      <c r="D150" s="293">
        <v>6184</v>
      </c>
      <c r="F150" s="842" t="s">
        <v>16558</v>
      </c>
      <c r="G150" s="292"/>
      <c r="I150" s="292"/>
    </row>
    <row r="151" spans="1:9">
      <c r="A151" s="842" t="s">
        <v>829</v>
      </c>
      <c r="B151" s="842" t="s">
        <v>6233</v>
      </c>
      <c r="C151" s="292" t="s">
        <v>16709</v>
      </c>
      <c r="D151" s="293">
        <v>3281</v>
      </c>
      <c r="F151" s="842" t="s">
        <v>16558</v>
      </c>
      <c r="G151" s="292"/>
      <c r="I151" s="292"/>
    </row>
    <row r="152" spans="1:9">
      <c r="A152" s="842" t="s">
        <v>830</v>
      </c>
      <c r="B152" s="842" t="s">
        <v>16710</v>
      </c>
      <c r="C152" s="292" t="s">
        <v>16711</v>
      </c>
      <c r="D152" s="293">
        <v>4805</v>
      </c>
      <c r="F152" s="842" t="s">
        <v>16558</v>
      </c>
      <c r="G152" s="292"/>
      <c r="I152" s="292"/>
    </row>
    <row r="153" spans="1:9">
      <c r="A153" s="842" t="s">
        <v>831</v>
      </c>
      <c r="B153" s="842" t="s">
        <v>16712</v>
      </c>
      <c r="C153" s="292" t="s">
        <v>16713</v>
      </c>
      <c r="D153" s="293">
        <v>5899</v>
      </c>
      <c r="F153" s="842" t="s">
        <v>16558</v>
      </c>
      <c r="G153" s="292"/>
      <c r="I153" s="292"/>
    </row>
    <row r="154" spans="1:9">
      <c r="A154" s="842" t="s">
        <v>832</v>
      </c>
      <c r="B154" s="842" t="s">
        <v>9038</v>
      </c>
      <c r="C154" s="292" t="s">
        <v>16714</v>
      </c>
      <c r="D154" s="293">
        <v>5634</v>
      </c>
      <c r="F154" s="842" t="s">
        <v>16558</v>
      </c>
      <c r="G154" s="292"/>
      <c r="I154" s="292"/>
    </row>
    <row r="155" spans="1:9">
      <c r="A155" s="842" t="s">
        <v>833</v>
      </c>
      <c r="B155" s="842" t="s">
        <v>16715</v>
      </c>
      <c r="C155" s="292" t="s">
        <v>16716</v>
      </c>
      <c r="D155" s="293">
        <v>4916</v>
      </c>
      <c r="F155" s="842" t="s">
        <v>16558</v>
      </c>
      <c r="G155" s="292"/>
      <c r="I155" s="292"/>
    </row>
    <row r="156" spans="1:9">
      <c r="A156" s="851">
        <v>14</v>
      </c>
      <c r="B156" s="842" t="s">
        <v>16717</v>
      </c>
      <c r="C156" s="292" t="s">
        <v>16718</v>
      </c>
      <c r="D156" s="293">
        <v>4213</v>
      </c>
      <c r="F156" s="842" t="s">
        <v>16558</v>
      </c>
      <c r="G156" s="292"/>
      <c r="I156" s="292"/>
    </row>
    <row r="157" spans="1:9">
      <c r="A157" s="851">
        <v>15</v>
      </c>
      <c r="B157" s="842" t="s">
        <v>9797</v>
      </c>
      <c r="C157" s="292" t="s">
        <v>16719</v>
      </c>
      <c r="D157" s="293">
        <v>3120</v>
      </c>
      <c r="F157" s="842" t="s">
        <v>16558</v>
      </c>
      <c r="G157" s="292"/>
      <c r="I157" s="292"/>
    </row>
    <row r="158" spans="1:9">
      <c r="D158" s="846"/>
    </row>
    <row r="159" spans="1:9">
      <c r="A159" s="842" t="s">
        <v>16558</v>
      </c>
      <c r="D159" s="845">
        <f t="shared" ref="D159" si="31">SUM(D143:D157)</f>
        <v>70578</v>
      </c>
    </row>
    <row r="160" spans="1:9">
      <c r="A160" s="842"/>
      <c r="D160" s="845"/>
    </row>
    <row r="161" spans="1:9">
      <c r="A161" s="842" t="s">
        <v>16720</v>
      </c>
      <c r="D161" s="845"/>
    </row>
    <row r="162" spans="1:9">
      <c r="A162" s="842"/>
      <c r="B162" s="842"/>
      <c r="D162" s="849"/>
    </row>
    <row r="163" spans="1:9">
      <c r="A163" s="842"/>
      <c r="B163" s="842"/>
      <c r="D163" s="849"/>
    </row>
    <row r="164" spans="1:9">
      <c r="D164" s="10" t="s">
        <v>285</v>
      </c>
      <c r="E164" s="11"/>
      <c r="F164" s="5" t="s">
        <v>4116</v>
      </c>
    </row>
    <row r="165" spans="1:9">
      <c r="D165" s="844">
        <v>2016</v>
      </c>
      <c r="F165" s="12" t="s">
        <v>286</v>
      </c>
    </row>
    <row r="166" spans="1:9">
      <c r="A166" s="842" t="s">
        <v>16721</v>
      </c>
      <c r="D166" s="845">
        <f t="shared" ref="D166" si="32">SUM(D167:D188)</f>
        <v>100288</v>
      </c>
    </row>
    <row r="167" spans="1:9">
      <c r="A167" s="842" t="s">
        <v>812</v>
      </c>
      <c r="B167" s="842" t="s">
        <v>16722</v>
      </c>
      <c r="C167" s="292" t="s">
        <v>16723</v>
      </c>
      <c r="D167" s="293">
        <v>7377</v>
      </c>
      <c r="F167" s="842" t="s">
        <v>16561</v>
      </c>
      <c r="G167" s="292"/>
      <c r="I167" s="292"/>
    </row>
    <row r="168" spans="1:9">
      <c r="A168" s="842" t="s">
        <v>813</v>
      </c>
      <c r="B168" s="842" t="s">
        <v>16724</v>
      </c>
      <c r="C168" s="292" t="s">
        <v>16725</v>
      </c>
      <c r="D168" s="293">
        <v>4124</v>
      </c>
      <c r="F168" s="842" t="s">
        <v>16551</v>
      </c>
      <c r="G168" s="292"/>
      <c r="I168" s="292"/>
    </row>
    <row r="169" spans="1:9">
      <c r="A169" s="842" t="s">
        <v>814</v>
      </c>
      <c r="B169" s="842" t="s">
        <v>16726</v>
      </c>
      <c r="C169" s="292" t="s">
        <v>16727</v>
      </c>
      <c r="D169" s="293">
        <v>2929</v>
      </c>
      <c r="F169" s="842" t="s">
        <v>16561</v>
      </c>
      <c r="G169" s="292"/>
      <c r="I169" s="292"/>
    </row>
    <row r="170" spans="1:9">
      <c r="A170" s="842" t="s">
        <v>815</v>
      </c>
      <c r="B170" s="842" t="s">
        <v>16728</v>
      </c>
      <c r="C170" s="292" t="s">
        <v>16729</v>
      </c>
      <c r="D170" s="293">
        <v>6506</v>
      </c>
      <c r="F170" s="842" t="s">
        <v>16551</v>
      </c>
      <c r="G170" s="292"/>
      <c r="I170" s="292"/>
    </row>
    <row r="171" spans="1:9">
      <c r="A171" s="842" t="s">
        <v>816</v>
      </c>
      <c r="B171" s="842" t="s">
        <v>16730</v>
      </c>
      <c r="C171" s="292" t="s">
        <v>16731</v>
      </c>
      <c r="D171" s="293">
        <v>7615</v>
      </c>
      <c r="F171" s="842" t="s">
        <v>16551</v>
      </c>
      <c r="G171" s="292"/>
      <c r="I171" s="292"/>
    </row>
    <row r="172" spans="1:9">
      <c r="A172" s="842" t="s">
        <v>826</v>
      </c>
      <c r="B172" s="842" t="s">
        <v>16732</v>
      </c>
      <c r="C172" s="292" t="s">
        <v>16733</v>
      </c>
      <c r="D172" s="293">
        <v>4166</v>
      </c>
      <c r="F172" s="842" t="s">
        <v>16551</v>
      </c>
      <c r="G172" s="292"/>
      <c r="I172" s="292"/>
    </row>
    <row r="173" spans="1:9">
      <c r="A173" s="842" t="s">
        <v>827</v>
      </c>
      <c r="B173" s="842" t="s">
        <v>16734</v>
      </c>
      <c r="C173" s="292" t="s">
        <v>16735</v>
      </c>
      <c r="D173" s="293">
        <v>4342</v>
      </c>
      <c r="F173" s="842" t="s">
        <v>16561</v>
      </c>
      <c r="G173" s="292"/>
      <c r="I173" s="292"/>
    </row>
    <row r="174" spans="1:9">
      <c r="A174" s="842" t="s">
        <v>828</v>
      </c>
      <c r="B174" s="842" t="s">
        <v>496</v>
      </c>
      <c r="C174" s="292" t="s">
        <v>16736</v>
      </c>
      <c r="D174" s="293">
        <v>2877</v>
      </c>
      <c r="F174" s="842" t="s">
        <v>16561</v>
      </c>
      <c r="G174" s="292"/>
      <c r="I174" s="292"/>
    </row>
    <row r="175" spans="1:9">
      <c r="A175" s="842" t="s">
        <v>829</v>
      </c>
      <c r="B175" s="842" t="s">
        <v>16737</v>
      </c>
      <c r="C175" s="292" t="s">
        <v>16738</v>
      </c>
      <c r="D175" s="293">
        <v>4059</v>
      </c>
      <c r="F175" s="842" t="s">
        <v>16551</v>
      </c>
      <c r="G175" s="292"/>
      <c r="I175" s="292"/>
    </row>
    <row r="176" spans="1:9">
      <c r="A176" s="842" t="s">
        <v>830</v>
      </c>
      <c r="B176" s="842" t="s">
        <v>16739</v>
      </c>
      <c r="C176" s="292" t="s">
        <v>16740</v>
      </c>
      <c r="D176" s="293">
        <v>4100</v>
      </c>
      <c r="F176" s="842" t="s">
        <v>16561</v>
      </c>
      <c r="G176" s="292"/>
      <c r="I176" s="292"/>
    </row>
    <row r="177" spans="1:9">
      <c r="A177" s="842" t="s">
        <v>831</v>
      </c>
      <c r="B177" s="842" t="s">
        <v>16741</v>
      </c>
      <c r="C177" s="292" t="s">
        <v>16742</v>
      </c>
      <c r="D177" s="293">
        <v>4290</v>
      </c>
      <c r="F177" s="842" t="s">
        <v>16561</v>
      </c>
      <c r="G177" s="292"/>
      <c r="I177" s="292"/>
    </row>
    <row r="178" spans="1:9">
      <c r="A178" s="842" t="s">
        <v>832</v>
      </c>
      <c r="B178" s="842" t="s">
        <v>16743</v>
      </c>
      <c r="C178" s="292" t="s">
        <v>16744</v>
      </c>
      <c r="D178" s="293">
        <v>5718</v>
      </c>
      <c r="F178" s="842" t="s">
        <v>16561</v>
      </c>
      <c r="G178" s="292"/>
      <c r="I178" s="292"/>
    </row>
    <row r="179" spans="1:9">
      <c r="A179" s="842" t="s">
        <v>833</v>
      </c>
      <c r="B179" s="842" t="s">
        <v>16745</v>
      </c>
      <c r="C179" s="292" t="s">
        <v>16746</v>
      </c>
      <c r="D179" s="293">
        <v>4175</v>
      </c>
      <c r="F179" s="842" t="s">
        <v>16561</v>
      </c>
      <c r="G179" s="292"/>
      <c r="I179" s="292"/>
    </row>
    <row r="180" spans="1:9">
      <c r="A180" s="842" t="s">
        <v>834</v>
      </c>
      <c r="B180" s="842" t="s">
        <v>16747</v>
      </c>
      <c r="C180" s="292" t="s">
        <v>16748</v>
      </c>
      <c r="D180" s="295">
        <v>2354</v>
      </c>
      <c r="F180" s="842" t="s">
        <v>16561</v>
      </c>
      <c r="G180" s="292"/>
      <c r="I180" s="292"/>
    </row>
    <row r="181" spans="1:9">
      <c r="A181" s="842" t="s">
        <v>835</v>
      </c>
      <c r="B181" s="842" t="s">
        <v>16749</v>
      </c>
      <c r="C181" s="292" t="s">
        <v>16750</v>
      </c>
      <c r="D181" s="293">
        <v>4993</v>
      </c>
      <c r="F181" s="842" t="s">
        <v>16551</v>
      </c>
      <c r="G181" s="292"/>
      <c r="I181" s="292"/>
    </row>
    <row r="182" spans="1:9">
      <c r="A182" s="842" t="s">
        <v>836</v>
      </c>
      <c r="B182" s="842" t="s">
        <v>16751</v>
      </c>
      <c r="C182" s="292" t="s">
        <v>16752</v>
      </c>
      <c r="D182" s="295">
        <v>4692</v>
      </c>
      <c r="F182" s="842" t="s">
        <v>16561</v>
      </c>
      <c r="G182" s="292"/>
      <c r="I182" s="292"/>
    </row>
    <row r="183" spans="1:9">
      <c r="A183" s="842" t="s">
        <v>837</v>
      </c>
      <c r="B183" s="842" t="s">
        <v>16753</v>
      </c>
      <c r="C183" s="292" t="s">
        <v>16754</v>
      </c>
      <c r="D183" s="295">
        <v>4594</v>
      </c>
      <c r="F183" s="842" t="s">
        <v>16561</v>
      </c>
      <c r="G183" s="292"/>
      <c r="I183" s="292"/>
    </row>
    <row r="184" spans="1:9">
      <c r="A184" s="842" t="s">
        <v>838</v>
      </c>
      <c r="B184" s="842" t="s">
        <v>16755</v>
      </c>
      <c r="C184" s="292" t="s">
        <v>16756</v>
      </c>
      <c r="D184" s="295">
        <v>2078</v>
      </c>
      <c r="F184" s="842" t="s">
        <v>16561</v>
      </c>
      <c r="G184" s="292"/>
      <c r="I184" s="292"/>
    </row>
    <row r="185" spans="1:9">
      <c r="A185" s="842" t="s">
        <v>840</v>
      </c>
      <c r="B185" s="842" t="s">
        <v>16757</v>
      </c>
      <c r="C185" s="292" t="s">
        <v>16758</v>
      </c>
      <c r="D185" s="295">
        <v>2249</v>
      </c>
      <c r="F185" s="842" t="s">
        <v>16561</v>
      </c>
      <c r="G185" s="292"/>
      <c r="I185" s="292"/>
    </row>
    <row r="186" spans="1:9">
      <c r="A186" s="842" t="s">
        <v>841</v>
      </c>
      <c r="B186" s="842" t="s">
        <v>16759</v>
      </c>
      <c r="C186" s="292" t="s">
        <v>16760</v>
      </c>
      <c r="D186" s="295">
        <v>7622</v>
      </c>
      <c r="F186" s="842" t="s">
        <v>16561</v>
      </c>
      <c r="G186" s="292"/>
      <c r="I186" s="292"/>
    </row>
    <row r="187" spans="1:9">
      <c r="A187" s="842" t="s">
        <v>878</v>
      </c>
      <c r="B187" s="842" t="s">
        <v>16761</v>
      </c>
      <c r="C187" s="292" t="s">
        <v>16762</v>
      </c>
      <c r="D187" s="293">
        <v>4786</v>
      </c>
      <c r="F187" s="842" t="s">
        <v>16551</v>
      </c>
      <c r="G187" s="292"/>
      <c r="I187" s="292"/>
    </row>
    <row r="188" spans="1:9">
      <c r="A188" s="842" t="s">
        <v>879</v>
      </c>
      <c r="B188" s="842" t="s">
        <v>16763</v>
      </c>
      <c r="C188" s="292" t="s">
        <v>16764</v>
      </c>
      <c r="D188" s="295">
        <v>4642</v>
      </c>
      <c r="F188" s="842" t="s">
        <v>16561</v>
      </c>
      <c r="G188" s="292"/>
      <c r="I188" s="292"/>
    </row>
    <row r="189" spans="1:9">
      <c r="D189" s="846"/>
    </row>
    <row r="190" spans="1:9">
      <c r="A190" s="842" t="s">
        <v>16633</v>
      </c>
      <c r="D190" s="845">
        <f t="shared" ref="D190" si="33">D168+SUM(D170:D172)+D175+D181+D187</f>
        <v>36249</v>
      </c>
    </row>
    <row r="191" spans="1:9">
      <c r="A191" s="842" t="s">
        <v>16765</v>
      </c>
      <c r="D191" s="845">
        <f t="shared" ref="D191" si="34">D167+D169+D173+D174+SUM(D176:D180)+SUM(D182:D186)+D188</f>
        <v>64039</v>
      </c>
    </row>
    <row r="192" spans="1:9">
      <c r="A192" s="842"/>
      <c r="D192" s="845"/>
    </row>
    <row r="193" spans="1:9">
      <c r="A193" s="842" t="s">
        <v>16766</v>
      </c>
      <c r="D193" s="845"/>
    </row>
    <row r="194" spans="1:9">
      <c r="A194" s="842" t="s">
        <v>16767</v>
      </c>
      <c r="D194" s="845"/>
    </row>
    <row r="195" spans="1:9">
      <c r="A195" s="842"/>
      <c r="B195" s="842"/>
      <c r="D195" s="849"/>
    </row>
    <row r="196" spans="1:9">
      <c r="A196" s="842"/>
      <c r="B196" s="842"/>
      <c r="D196" s="849"/>
    </row>
    <row r="197" spans="1:9">
      <c r="D197" s="10" t="s">
        <v>285</v>
      </c>
      <c r="E197" s="11"/>
      <c r="F197" s="5" t="s">
        <v>4116</v>
      </c>
    </row>
    <row r="198" spans="1:9">
      <c r="D198" s="844">
        <v>2016</v>
      </c>
      <c r="F198" s="12" t="s">
        <v>286</v>
      </c>
    </row>
    <row r="199" spans="1:9">
      <c r="A199" s="842" t="s">
        <v>16768</v>
      </c>
      <c r="D199" s="845">
        <f t="shared" ref="D199" si="35">SUM(D200:D225)</f>
        <v>104358</v>
      </c>
    </row>
    <row r="200" spans="1:9">
      <c r="A200" s="842" t="s">
        <v>812</v>
      </c>
      <c r="B200" s="842" t="s">
        <v>16769</v>
      </c>
      <c r="C200" s="292" t="s">
        <v>16770</v>
      </c>
      <c r="D200" s="293">
        <v>4179</v>
      </c>
      <c r="F200" s="842" t="s">
        <v>16561</v>
      </c>
      <c r="G200" s="292"/>
      <c r="I200" s="292"/>
    </row>
    <row r="201" spans="1:9">
      <c r="A201" s="842" t="s">
        <v>813</v>
      </c>
      <c r="B201" s="842" t="s">
        <v>16771</v>
      </c>
      <c r="C201" s="292" t="s">
        <v>16772</v>
      </c>
      <c r="D201" s="293">
        <v>2023</v>
      </c>
      <c r="F201" s="842" t="s">
        <v>16562</v>
      </c>
      <c r="G201" s="292"/>
      <c r="I201" s="292"/>
    </row>
    <row r="202" spans="1:9">
      <c r="A202" s="842" t="s">
        <v>814</v>
      </c>
      <c r="B202" s="842" t="s">
        <v>16773</v>
      </c>
      <c r="C202" s="292" t="s">
        <v>16774</v>
      </c>
      <c r="D202" s="293">
        <v>2118</v>
      </c>
      <c r="F202" s="842" t="s">
        <v>16551</v>
      </c>
      <c r="G202" s="292"/>
      <c r="I202" s="292"/>
    </row>
    <row r="203" spans="1:9">
      <c r="A203" s="842" t="s">
        <v>815</v>
      </c>
      <c r="B203" s="842" t="s">
        <v>16775</v>
      </c>
      <c r="C203" s="292" t="s">
        <v>16776</v>
      </c>
      <c r="D203" s="293">
        <v>3812</v>
      </c>
      <c r="F203" s="842" t="s">
        <v>16562</v>
      </c>
      <c r="G203" s="292"/>
      <c r="I203" s="292"/>
    </row>
    <row r="204" spans="1:9">
      <c r="A204" s="842" t="s">
        <v>816</v>
      </c>
      <c r="B204" s="842" t="s">
        <v>16777</v>
      </c>
      <c r="C204" s="292" t="s">
        <v>16778</v>
      </c>
      <c r="D204" s="293">
        <v>3903</v>
      </c>
      <c r="F204" s="842" t="s">
        <v>16562</v>
      </c>
      <c r="G204" s="292"/>
      <c r="I204" s="292"/>
    </row>
    <row r="205" spans="1:9">
      <c r="A205" s="842" t="s">
        <v>826</v>
      </c>
      <c r="B205" s="842" t="s">
        <v>16779</v>
      </c>
      <c r="C205" s="292" t="s">
        <v>16780</v>
      </c>
      <c r="D205" s="293">
        <v>3650</v>
      </c>
      <c r="F205" s="842" t="s">
        <v>16562</v>
      </c>
      <c r="G205" s="292"/>
      <c r="I205" s="292"/>
    </row>
    <row r="206" spans="1:9">
      <c r="A206" s="842" t="s">
        <v>827</v>
      </c>
      <c r="B206" s="842" t="s">
        <v>16781</v>
      </c>
      <c r="C206" s="292" t="s">
        <v>16782</v>
      </c>
      <c r="D206" s="293">
        <v>3560</v>
      </c>
      <c r="F206" s="842" t="s">
        <v>16562</v>
      </c>
      <c r="G206" s="292"/>
      <c r="I206" s="292"/>
    </row>
    <row r="207" spans="1:9">
      <c r="A207" s="842" t="s">
        <v>828</v>
      </c>
      <c r="B207" s="842" t="s">
        <v>16783</v>
      </c>
      <c r="C207" s="292" t="s">
        <v>16784</v>
      </c>
      <c r="D207" s="293">
        <v>3676</v>
      </c>
      <c r="F207" s="842" t="s">
        <v>16562</v>
      </c>
      <c r="G207" s="292"/>
      <c r="I207" s="292"/>
    </row>
    <row r="208" spans="1:9">
      <c r="A208" s="842" t="s">
        <v>829</v>
      </c>
      <c r="B208" s="842" t="s">
        <v>16785</v>
      </c>
      <c r="C208" s="292" t="s">
        <v>16786</v>
      </c>
      <c r="D208" s="293">
        <v>4141</v>
      </c>
      <c r="F208" s="842" t="s">
        <v>16562</v>
      </c>
      <c r="G208" s="292"/>
      <c r="I208" s="292"/>
    </row>
    <row r="209" spans="1:9">
      <c r="A209" s="842" t="s">
        <v>830</v>
      </c>
      <c r="B209" s="842" t="s">
        <v>16787</v>
      </c>
      <c r="C209" s="292" t="s">
        <v>16788</v>
      </c>
      <c r="D209" s="293">
        <v>3747</v>
      </c>
      <c r="F209" s="842" t="s">
        <v>16558</v>
      </c>
      <c r="G209" s="292"/>
      <c r="I209" s="292"/>
    </row>
    <row r="210" spans="1:9">
      <c r="A210" s="842" t="s">
        <v>831</v>
      </c>
      <c r="B210" s="842" t="s">
        <v>16789</v>
      </c>
      <c r="C210" s="292" t="s">
        <v>16790</v>
      </c>
      <c r="D210" s="293">
        <v>5435</v>
      </c>
      <c r="F210" s="842" t="s">
        <v>16561</v>
      </c>
      <c r="G210" s="292"/>
      <c r="I210" s="292"/>
    </row>
    <row r="211" spans="1:9">
      <c r="A211" s="842" t="s">
        <v>832</v>
      </c>
      <c r="B211" s="842" t="s">
        <v>16791</v>
      </c>
      <c r="C211" s="292" t="s">
        <v>16792</v>
      </c>
      <c r="D211" s="293">
        <v>3973</v>
      </c>
      <c r="F211" s="842" t="s">
        <v>16562</v>
      </c>
      <c r="G211" s="292"/>
      <c r="I211" s="292"/>
    </row>
    <row r="212" spans="1:9">
      <c r="A212" s="842" t="s">
        <v>833</v>
      </c>
      <c r="B212" s="842" t="s">
        <v>16793</v>
      </c>
      <c r="C212" s="292" t="s">
        <v>16794</v>
      </c>
      <c r="D212" s="293">
        <v>4164</v>
      </c>
      <c r="F212" s="842" t="s">
        <v>16562</v>
      </c>
      <c r="G212" s="292"/>
      <c r="I212" s="292"/>
    </row>
    <row r="213" spans="1:9">
      <c r="A213" s="842" t="s">
        <v>834</v>
      </c>
      <c r="B213" s="842" t="s">
        <v>16795</v>
      </c>
      <c r="C213" s="292" t="s">
        <v>16796</v>
      </c>
      <c r="D213" s="295">
        <v>3766</v>
      </c>
      <c r="F213" s="842" t="s">
        <v>16562</v>
      </c>
      <c r="G213" s="292"/>
      <c r="I213" s="292"/>
    </row>
    <row r="214" spans="1:9">
      <c r="A214" s="842" t="s">
        <v>835</v>
      </c>
      <c r="B214" s="842" t="s">
        <v>16797</v>
      </c>
      <c r="C214" s="292" t="s">
        <v>16798</v>
      </c>
      <c r="D214" s="295">
        <v>3741</v>
      </c>
      <c r="F214" s="842" t="s">
        <v>16562</v>
      </c>
      <c r="G214" s="292"/>
      <c r="I214" s="292"/>
    </row>
    <row r="215" spans="1:9">
      <c r="A215" s="842" t="s">
        <v>836</v>
      </c>
      <c r="B215" s="842" t="s">
        <v>16799</v>
      </c>
      <c r="C215" s="292" t="s">
        <v>16800</v>
      </c>
      <c r="D215" s="295">
        <v>3538</v>
      </c>
      <c r="F215" s="842" t="s">
        <v>16562</v>
      </c>
      <c r="G215" s="292"/>
      <c r="I215" s="292"/>
    </row>
    <row r="216" spans="1:9">
      <c r="A216" s="842" t="s">
        <v>837</v>
      </c>
      <c r="B216" s="842" t="s">
        <v>16801</v>
      </c>
      <c r="C216" s="292" t="s">
        <v>16802</v>
      </c>
      <c r="D216" s="295">
        <v>3514</v>
      </c>
      <c r="F216" s="842" t="s">
        <v>16562</v>
      </c>
      <c r="G216" s="292"/>
      <c r="I216" s="292"/>
    </row>
    <row r="217" spans="1:9">
      <c r="A217" s="842" t="s">
        <v>838</v>
      </c>
      <c r="B217" s="842" t="s">
        <v>16803</v>
      </c>
      <c r="C217" s="292" t="s">
        <v>16804</v>
      </c>
      <c r="D217" s="293">
        <v>6123</v>
      </c>
      <c r="F217" s="842" t="s">
        <v>16551</v>
      </c>
      <c r="G217" s="292"/>
      <c r="I217" s="292"/>
    </row>
    <row r="218" spans="1:9">
      <c r="A218" s="842" t="s">
        <v>840</v>
      </c>
      <c r="B218" s="842" t="s">
        <v>16805</v>
      </c>
      <c r="C218" s="292" t="s">
        <v>16806</v>
      </c>
      <c r="D218" s="295">
        <v>3894</v>
      </c>
      <c r="F218" s="842" t="s">
        <v>16562</v>
      </c>
      <c r="G218" s="292"/>
      <c r="I218" s="292"/>
    </row>
    <row r="219" spans="1:9">
      <c r="A219" s="842" t="s">
        <v>841</v>
      </c>
      <c r="B219" s="842" t="s">
        <v>16807</v>
      </c>
      <c r="C219" s="292" t="s">
        <v>16808</v>
      </c>
      <c r="D219" s="295">
        <v>4215</v>
      </c>
      <c r="F219" s="842" t="s">
        <v>16562</v>
      </c>
      <c r="G219" s="292"/>
      <c r="I219" s="292"/>
    </row>
    <row r="220" spans="1:9">
      <c r="A220" s="842" t="s">
        <v>878</v>
      </c>
      <c r="B220" s="842" t="s">
        <v>16809</v>
      </c>
      <c r="C220" s="292" t="s">
        <v>16810</v>
      </c>
      <c r="D220" s="295">
        <v>3739</v>
      </c>
      <c r="F220" s="842" t="s">
        <v>16562</v>
      </c>
      <c r="G220" s="292"/>
      <c r="I220" s="292"/>
    </row>
    <row r="221" spans="1:9">
      <c r="A221" s="842" t="s">
        <v>879</v>
      </c>
      <c r="B221" s="842" t="s">
        <v>16811</v>
      </c>
      <c r="C221" s="292" t="s">
        <v>16812</v>
      </c>
      <c r="D221" s="295">
        <v>3973</v>
      </c>
      <c r="F221" s="842" t="s">
        <v>16562</v>
      </c>
      <c r="G221" s="292"/>
      <c r="I221" s="292"/>
    </row>
    <row r="222" spans="1:9">
      <c r="A222" s="842" t="s">
        <v>880</v>
      </c>
      <c r="B222" s="842" t="s">
        <v>16813</v>
      </c>
      <c r="C222" s="292" t="s">
        <v>16814</v>
      </c>
      <c r="D222" s="295">
        <v>4280</v>
      </c>
      <c r="F222" s="842" t="s">
        <v>16562</v>
      </c>
      <c r="G222" s="292"/>
      <c r="I222" s="292"/>
    </row>
    <row r="223" spans="1:9">
      <c r="A223" s="842" t="s">
        <v>721</v>
      </c>
      <c r="B223" s="842" t="s">
        <v>16815</v>
      </c>
      <c r="C223" s="292" t="s">
        <v>16816</v>
      </c>
      <c r="D223" s="295">
        <v>3834</v>
      </c>
      <c r="F223" s="842" t="s">
        <v>16562</v>
      </c>
      <c r="G223" s="292"/>
      <c r="I223" s="292"/>
    </row>
    <row r="224" spans="1:9">
      <c r="A224" s="842" t="s">
        <v>722</v>
      </c>
      <c r="B224" s="842" t="s">
        <v>16817</v>
      </c>
      <c r="C224" s="292" t="s">
        <v>16818</v>
      </c>
      <c r="D224" s="293">
        <v>5725</v>
      </c>
      <c r="F224" s="842" t="s">
        <v>16551</v>
      </c>
      <c r="G224" s="292"/>
      <c r="I224" s="292"/>
    </row>
    <row r="225" spans="1:9">
      <c r="A225" s="842" t="s">
        <v>723</v>
      </c>
      <c r="B225" s="842" t="s">
        <v>16819</v>
      </c>
      <c r="C225" s="292" t="s">
        <v>16820</v>
      </c>
      <c r="D225" s="295">
        <v>5635</v>
      </c>
      <c r="F225" s="842" t="s">
        <v>16562</v>
      </c>
      <c r="G225" s="292"/>
      <c r="I225" s="292"/>
    </row>
    <row r="227" spans="1:9">
      <c r="A227" s="842" t="s">
        <v>16633</v>
      </c>
      <c r="D227" s="845">
        <f>D202+D217+D224</f>
        <v>13966</v>
      </c>
    </row>
    <row r="228" spans="1:9">
      <c r="A228" s="842" t="s">
        <v>16821</v>
      </c>
      <c r="D228" s="845">
        <f>D209</f>
        <v>3747</v>
      </c>
    </row>
    <row r="229" spans="1:9">
      <c r="A229" s="842" t="s">
        <v>16765</v>
      </c>
      <c r="D229" s="845">
        <f>D200+D210</f>
        <v>9614</v>
      </c>
    </row>
    <row r="230" spans="1:9">
      <c r="A230" s="842" t="s">
        <v>16562</v>
      </c>
      <c r="D230" s="845">
        <f>D201+SUM(D203:D208)+SUM(D211:D216)+SUM(D218:D223)+D225</f>
        <v>77031</v>
      </c>
    </row>
    <row r="231" spans="1:9">
      <c r="A231" s="842"/>
      <c r="D231" s="845"/>
    </row>
    <row r="232" spans="1:9">
      <c r="A232" s="842" t="s">
        <v>16822</v>
      </c>
      <c r="B232" s="842"/>
      <c r="D232" s="849"/>
    </row>
    <row r="233" spans="1:9">
      <c r="A233" s="842"/>
      <c r="B233" s="842"/>
      <c r="D233" s="849"/>
    </row>
    <row r="234" spans="1:9">
      <c r="A234" s="842"/>
      <c r="B234" s="842"/>
      <c r="D234" s="849"/>
    </row>
    <row r="235" spans="1:9">
      <c r="D235" s="10" t="s">
        <v>285</v>
      </c>
      <c r="E235" s="11"/>
      <c r="F235" s="5" t="s">
        <v>4116</v>
      </c>
    </row>
    <row r="236" spans="1:9">
      <c r="D236" s="844">
        <v>2016</v>
      </c>
      <c r="F236" s="12" t="s">
        <v>286</v>
      </c>
    </row>
    <row r="237" spans="1:9">
      <c r="A237" s="842" t="s">
        <v>16823</v>
      </c>
      <c r="D237" s="845">
        <f t="shared" ref="D237" si="36">SUM(D238:D250)</f>
        <v>77529</v>
      </c>
    </row>
    <row r="238" spans="1:9">
      <c r="A238" s="842" t="s">
        <v>812</v>
      </c>
      <c r="B238" s="842" t="s">
        <v>15788</v>
      </c>
      <c r="C238" s="292" t="s">
        <v>16824</v>
      </c>
      <c r="D238" s="293">
        <v>6574</v>
      </c>
      <c r="F238" s="842" t="s">
        <v>16559</v>
      </c>
      <c r="G238" s="292"/>
      <c r="I238" s="292"/>
    </row>
    <row r="239" spans="1:9">
      <c r="A239" s="842" t="s">
        <v>813</v>
      </c>
      <c r="B239" s="842" t="s">
        <v>883</v>
      </c>
      <c r="C239" s="292" t="s">
        <v>16825</v>
      </c>
      <c r="D239" s="293">
        <v>6140</v>
      </c>
      <c r="F239" s="842" t="s">
        <v>16563</v>
      </c>
      <c r="G239" s="292"/>
      <c r="I239" s="292"/>
    </row>
    <row r="240" spans="1:9">
      <c r="A240" s="842" t="s">
        <v>814</v>
      </c>
      <c r="B240" s="842" t="s">
        <v>888</v>
      </c>
      <c r="C240" s="292" t="s">
        <v>16826</v>
      </c>
      <c r="D240" s="293">
        <v>6497</v>
      </c>
      <c r="F240" s="842" t="s">
        <v>16563</v>
      </c>
      <c r="G240" s="292"/>
      <c r="I240" s="292"/>
    </row>
    <row r="241" spans="1:9">
      <c r="A241" s="842" t="s">
        <v>815</v>
      </c>
      <c r="B241" s="842" t="s">
        <v>16827</v>
      </c>
      <c r="C241" s="292" t="s">
        <v>16828</v>
      </c>
      <c r="D241" s="293">
        <v>4378</v>
      </c>
      <c r="F241" s="842" t="s">
        <v>16563</v>
      </c>
      <c r="G241" s="292"/>
      <c r="I241" s="292"/>
    </row>
    <row r="242" spans="1:9">
      <c r="A242" s="842" t="s">
        <v>816</v>
      </c>
      <c r="B242" s="842" t="s">
        <v>16829</v>
      </c>
      <c r="C242" s="292" t="s">
        <v>16830</v>
      </c>
      <c r="D242" s="293">
        <v>6495</v>
      </c>
      <c r="F242" s="842" t="s">
        <v>16559</v>
      </c>
      <c r="G242" s="292"/>
      <c r="I242" s="292"/>
    </row>
    <row r="243" spans="1:9">
      <c r="A243" s="842" t="s">
        <v>826</v>
      </c>
      <c r="B243" s="842" t="s">
        <v>15962</v>
      </c>
      <c r="C243" s="292" t="s">
        <v>16831</v>
      </c>
      <c r="D243" s="293">
        <v>6690</v>
      </c>
      <c r="F243" s="842" t="s">
        <v>16563</v>
      </c>
      <c r="G243" s="292"/>
      <c r="I243" s="292"/>
    </row>
    <row r="244" spans="1:9">
      <c r="A244" s="842" t="s">
        <v>827</v>
      </c>
      <c r="B244" s="842" t="s">
        <v>16832</v>
      </c>
      <c r="C244" s="292" t="s">
        <v>16833</v>
      </c>
      <c r="D244" s="293">
        <v>5717</v>
      </c>
      <c r="F244" s="842" t="s">
        <v>16563</v>
      </c>
      <c r="G244" s="292"/>
      <c r="I244" s="292"/>
    </row>
    <row r="245" spans="1:9">
      <c r="A245" s="842" t="s">
        <v>828</v>
      </c>
      <c r="B245" s="842" t="s">
        <v>16573</v>
      </c>
      <c r="C245" s="292" t="s">
        <v>16834</v>
      </c>
      <c r="D245" s="293">
        <v>6363</v>
      </c>
      <c r="F245" s="842" t="s">
        <v>16563</v>
      </c>
      <c r="G245" s="292"/>
      <c r="I245" s="292"/>
    </row>
    <row r="246" spans="1:9">
      <c r="A246" s="842" t="s">
        <v>829</v>
      </c>
      <c r="B246" s="842" t="s">
        <v>16835</v>
      </c>
      <c r="C246" s="292" t="s">
        <v>16836</v>
      </c>
      <c r="D246" s="293">
        <v>3626</v>
      </c>
      <c r="F246" s="842" t="s">
        <v>16563</v>
      </c>
      <c r="G246" s="292"/>
      <c r="I246" s="292"/>
    </row>
    <row r="247" spans="1:9">
      <c r="A247" s="842" t="s">
        <v>830</v>
      </c>
      <c r="B247" s="842" t="s">
        <v>16837</v>
      </c>
      <c r="C247" s="292" t="s">
        <v>16838</v>
      </c>
      <c r="D247" s="293">
        <v>6291</v>
      </c>
      <c r="F247" s="842" t="s">
        <v>16559</v>
      </c>
      <c r="G247" s="292"/>
      <c r="I247" s="292"/>
    </row>
    <row r="248" spans="1:9">
      <c r="A248" s="842" t="s">
        <v>831</v>
      </c>
      <c r="B248" s="842" t="s">
        <v>16839</v>
      </c>
      <c r="C248" s="292" t="s">
        <v>16840</v>
      </c>
      <c r="D248" s="293">
        <v>6927</v>
      </c>
      <c r="F248" s="842" t="s">
        <v>16563</v>
      </c>
      <c r="G248" s="292"/>
      <c r="I248" s="292"/>
    </row>
    <row r="249" spans="1:9">
      <c r="A249" s="842" t="s">
        <v>832</v>
      </c>
      <c r="B249" s="842" t="s">
        <v>16841</v>
      </c>
      <c r="C249" s="292" t="s">
        <v>16842</v>
      </c>
      <c r="D249" s="293">
        <v>5720</v>
      </c>
      <c r="F249" s="842" t="s">
        <v>16559</v>
      </c>
      <c r="G249" s="292"/>
      <c r="I249" s="292"/>
    </row>
    <row r="250" spans="1:9">
      <c r="A250" s="851">
        <v>13</v>
      </c>
      <c r="B250" s="842" t="s">
        <v>16843</v>
      </c>
      <c r="C250" s="292" t="s">
        <v>16844</v>
      </c>
      <c r="D250" s="293">
        <v>6111</v>
      </c>
      <c r="F250" s="842" t="s">
        <v>16563</v>
      </c>
      <c r="G250" s="292"/>
      <c r="I250" s="292"/>
    </row>
    <row r="251" spans="1:9">
      <c r="D251" s="846"/>
    </row>
    <row r="252" spans="1:9">
      <c r="A252" s="842" t="s">
        <v>16587</v>
      </c>
      <c r="D252" s="845">
        <f t="shared" ref="D252" si="37">D238+D242+D247+D249</f>
        <v>25080</v>
      </c>
    </row>
    <row r="253" spans="1:9">
      <c r="A253" s="842" t="s">
        <v>16634</v>
      </c>
      <c r="D253" s="845">
        <f t="shared" ref="D253" si="38">SUM(D239:D241)+SUM(D243:D246)+D248+D250</f>
        <v>52449</v>
      </c>
    </row>
    <row r="255" spans="1:9">
      <c r="A255" s="843" t="s">
        <v>16845</v>
      </c>
    </row>
  </sheetData>
  <printOptions gridLinesSet="0"/>
  <pageMargins left="0.78740157480314965" right="0" top="0.51181102362204722" bottom="0.51181102362204722" header="0.51181102362204722" footer="0.51181102362204722"/>
  <pageSetup paperSize="9" scale="65" orientation="portrait" horizontalDpi="300" verticalDpi="300" r:id="rId1"/>
  <headerFooter alignWithMargins="0">
    <oddFooter>&amp;C&amp;8&amp;P of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63"/>
  <sheetViews>
    <sheetView showGridLines="0" zoomScaleNormal="100" workbookViewId="0"/>
  </sheetViews>
  <sheetFormatPr defaultColWidth="12.59765625" defaultRowHeight="14.5"/>
  <cols>
    <col min="1" max="1" width="4.8984375" style="678" customWidth="1"/>
    <col min="2" max="2" width="35.8984375" style="678" customWidth="1"/>
    <col min="3" max="3" width="11.59765625" style="678" customWidth="1"/>
    <col min="4" max="4" width="10" style="678" customWidth="1"/>
    <col min="5" max="5" width="2.296875" style="678" customWidth="1"/>
    <col min="6" max="6" width="39" style="678" bestFit="1" customWidth="1"/>
    <col min="7" max="16384" width="12.59765625" style="678"/>
  </cols>
  <sheetData>
    <row r="1" spans="1:6">
      <c r="A1" s="658" t="s">
        <v>1075</v>
      </c>
      <c r="D1" s="679">
        <v>2016</v>
      </c>
    </row>
    <row r="3" spans="1:6">
      <c r="A3" s="658" t="s">
        <v>10596</v>
      </c>
      <c r="D3" s="680">
        <f t="shared" ref="D3" si="0">SUM(D5:D9)</f>
        <v>1517655</v>
      </c>
    </row>
    <row r="4" spans="1:6">
      <c r="D4" s="681"/>
    </row>
    <row r="5" spans="1:6">
      <c r="A5" s="658" t="s">
        <v>11370</v>
      </c>
      <c r="C5" s="658"/>
      <c r="D5" s="680">
        <f t="shared" ref="D5" si="1">D76</f>
        <v>326783</v>
      </c>
      <c r="F5" s="682"/>
    </row>
    <row r="6" spans="1:6">
      <c r="A6" s="658" t="s">
        <v>11371</v>
      </c>
      <c r="C6" s="658"/>
      <c r="D6" s="680">
        <f t="shared" ref="D6" si="2">D122</f>
        <v>142864</v>
      </c>
      <c r="F6" s="682"/>
    </row>
    <row r="7" spans="1:6">
      <c r="A7" s="658" t="s">
        <v>11372</v>
      </c>
      <c r="C7" s="658"/>
      <c r="D7" s="680">
        <f t="shared" ref="D7" si="3">D149</f>
        <v>295405</v>
      </c>
      <c r="F7" s="682"/>
    </row>
    <row r="8" spans="1:6">
      <c r="A8" s="658" t="s">
        <v>11373</v>
      </c>
      <c r="C8" s="658"/>
      <c r="D8" s="680">
        <f t="shared" ref="D8" si="4">D186</f>
        <v>515304</v>
      </c>
      <c r="F8" s="682"/>
    </row>
    <row r="9" spans="1:6">
      <c r="A9" s="658" t="s">
        <v>11374</v>
      </c>
      <c r="C9" s="658"/>
      <c r="D9" s="680">
        <f t="shared" ref="D9" si="5">D235</f>
        <v>237299</v>
      </c>
      <c r="F9" s="682"/>
    </row>
    <row r="10" spans="1:6">
      <c r="B10" s="658"/>
      <c r="C10" s="658"/>
      <c r="D10" s="680"/>
      <c r="F10" s="682"/>
    </row>
    <row r="11" spans="1:6">
      <c r="A11" s="665" t="s">
        <v>11163</v>
      </c>
      <c r="B11" s="658"/>
      <c r="C11" s="658"/>
      <c r="D11" s="680">
        <f>'SOUTH YORKSHIRE'!D12</f>
        <v>49554</v>
      </c>
      <c r="F11" s="682" t="s">
        <v>11162</v>
      </c>
    </row>
    <row r="12" spans="1:6" ht="15" thickBot="1">
      <c r="B12" s="658"/>
      <c r="C12" s="658"/>
      <c r="D12" s="680">
        <f>D258</f>
        <v>22900</v>
      </c>
      <c r="F12" s="658" t="s">
        <v>10787</v>
      </c>
    </row>
    <row r="13" spans="1:6" ht="15" thickBot="1">
      <c r="B13" s="658"/>
      <c r="C13" s="658"/>
      <c r="D13" s="683">
        <f t="shared" ref="D13" si="6">D11+D12</f>
        <v>72454</v>
      </c>
      <c r="F13" s="682"/>
    </row>
    <row r="14" spans="1:6">
      <c r="B14" s="658"/>
      <c r="C14" s="658"/>
      <c r="D14" s="680"/>
      <c r="F14" s="682"/>
    </row>
    <row r="15" spans="1:6">
      <c r="A15" s="658" t="s">
        <v>11375</v>
      </c>
      <c r="D15" s="680">
        <f>D221</f>
        <v>49925</v>
      </c>
      <c r="F15" s="658" t="s">
        <v>11376</v>
      </c>
    </row>
    <row r="16" spans="1:6" ht="15" thickBot="1">
      <c r="A16" s="658"/>
      <c r="D16" s="684">
        <f>D174</f>
        <v>24755</v>
      </c>
      <c r="F16" s="658" t="s">
        <v>11165</v>
      </c>
    </row>
    <row r="17" spans="1:6" ht="15" thickBot="1">
      <c r="A17" s="658"/>
      <c r="D17" s="683">
        <f t="shared" ref="D17" si="7">D15+D16</f>
        <v>74680</v>
      </c>
      <c r="F17" s="658"/>
    </row>
    <row r="18" spans="1:6">
      <c r="B18" s="658"/>
      <c r="C18" s="658"/>
      <c r="D18" s="680"/>
      <c r="F18" s="682"/>
    </row>
    <row r="19" spans="1:6">
      <c r="A19" s="658" t="s">
        <v>11377</v>
      </c>
      <c r="D19" s="680">
        <f t="shared" ref="D19" si="8">D108</f>
        <v>74954</v>
      </c>
      <c r="F19" s="658" t="s">
        <v>11378</v>
      </c>
    </row>
    <row r="20" spans="1:6">
      <c r="D20" s="681"/>
    </row>
    <row r="21" spans="1:6">
      <c r="A21" s="658" t="s">
        <v>11379</v>
      </c>
      <c r="D21" s="680">
        <f t="shared" ref="D21" si="9">D109</f>
        <v>73686</v>
      </c>
      <c r="F21" s="658" t="s">
        <v>11378</v>
      </c>
    </row>
    <row r="22" spans="1:6">
      <c r="D22" s="681"/>
    </row>
    <row r="23" spans="1:6">
      <c r="A23" s="658" t="s">
        <v>11380</v>
      </c>
      <c r="D23" s="680">
        <f t="shared" ref="D23" si="10">D141</f>
        <v>76601</v>
      </c>
      <c r="F23" s="658" t="s">
        <v>11381</v>
      </c>
    </row>
    <row r="24" spans="1:6">
      <c r="D24" s="681"/>
    </row>
    <row r="25" spans="1:6">
      <c r="A25" s="658" t="s">
        <v>11164</v>
      </c>
      <c r="D25" s="681">
        <f>'SOUTH YORKSHIRE'!D16</f>
        <v>9162</v>
      </c>
      <c r="F25" s="658" t="s">
        <v>11162</v>
      </c>
    </row>
    <row r="26" spans="1:6" ht="15" thickBot="1">
      <c r="D26" s="680">
        <f t="shared" ref="D26" si="11">D175</f>
        <v>65737</v>
      </c>
      <c r="F26" s="658" t="s">
        <v>11165</v>
      </c>
    </row>
    <row r="27" spans="1:6" ht="15" thickBot="1">
      <c r="A27" s="658"/>
      <c r="D27" s="683">
        <f>D25+D26</f>
        <v>74899</v>
      </c>
      <c r="F27" s="658"/>
    </row>
    <row r="28" spans="1:6">
      <c r="D28" s="681"/>
    </row>
    <row r="29" spans="1:6">
      <c r="A29" s="658" t="s">
        <v>11382</v>
      </c>
      <c r="D29" s="680">
        <f t="shared" ref="D29" si="12">D176</f>
        <v>77167</v>
      </c>
      <c r="F29" s="658" t="s">
        <v>11165</v>
      </c>
    </row>
    <row r="30" spans="1:6">
      <c r="D30" s="681"/>
    </row>
    <row r="31" spans="1:6">
      <c r="A31" s="658" t="s">
        <v>11383</v>
      </c>
      <c r="D31" s="680">
        <f t="shared" ref="D31" si="13">D222</f>
        <v>77287</v>
      </c>
      <c r="F31" s="658" t="s">
        <v>11376</v>
      </c>
    </row>
    <row r="32" spans="1:6">
      <c r="D32" s="681"/>
    </row>
    <row r="33" spans="1:6">
      <c r="A33" s="658" t="s">
        <v>11384</v>
      </c>
      <c r="D33" s="681">
        <f>D110</f>
        <v>11258</v>
      </c>
      <c r="F33" s="658" t="s">
        <v>11378</v>
      </c>
    </row>
    <row r="34" spans="1:6" ht="15" thickBot="1">
      <c r="D34" s="680">
        <f t="shared" ref="D34" si="14">D142</f>
        <v>66263</v>
      </c>
      <c r="F34" s="658" t="s">
        <v>11381</v>
      </c>
    </row>
    <row r="35" spans="1:6" ht="15" thickBot="1">
      <c r="A35" s="658"/>
      <c r="D35" s="683">
        <f t="shared" ref="D35" si="15">D33+D34</f>
        <v>77521</v>
      </c>
      <c r="F35" s="658"/>
    </row>
    <row r="36" spans="1:6">
      <c r="D36" s="681"/>
    </row>
    <row r="37" spans="1:6">
      <c r="A37" s="658" t="s">
        <v>11385</v>
      </c>
      <c r="D37" s="680">
        <f t="shared" ref="D37" si="16">D177</f>
        <v>76540</v>
      </c>
      <c r="F37" s="658" t="s">
        <v>11165</v>
      </c>
    </row>
    <row r="38" spans="1:6">
      <c r="D38" s="681"/>
    </row>
    <row r="39" spans="1:6">
      <c r="A39" s="658" t="s">
        <v>11386</v>
      </c>
      <c r="D39" s="680">
        <f t="shared" ref="D39" si="17">D111</f>
        <v>76636</v>
      </c>
      <c r="F39" s="658" t="s">
        <v>11378</v>
      </c>
    </row>
    <row r="40" spans="1:6">
      <c r="D40" s="681"/>
    </row>
    <row r="41" spans="1:6">
      <c r="A41" s="658" t="s">
        <v>11387</v>
      </c>
      <c r="D41" s="680">
        <f t="shared" ref="D41" si="18">D223</f>
        <v>77012</v>
      </c>
      <c r="F41" s="658" t="s">
        <v>11376</v>
      </c>
    </row>
    <row r="42" spans="1:6">
      <c r="D42" s="681"/>
    </row>
    <row r="43" spans="1:6">
      <c r="A43" s="658" t="s">
        <v>11388</v>
      </c>
      <c r="D43" s="680">
        <f t="shared" ref="D43" si="19">D224</f>
        <v>76213</v>
      </c>
      <c r="F43" s="658" t="s">
        <v>11376</v>
      </c>
    </row>
    <row r="44" spans="1:6">
      <c r="D44" s="681"/>
    </row>
    <row r="45" spans="1:6">
      <c r="A45" s="658" t="s">
        <v>11389</v>
      </c>
      <c r="D45" s="680">
        <f t="shared" ref="D45" si="20">D225</f>
        <v>74883</v>
      </c>
      <c r="F45" s="658" t="s">
        <v>11376</v>
      </c>
    </row>
    <row r="46" spans="1:6">
      <c r="D46" s="681"/>
    </row>
    <row r="47" spans="1:6">
      <c r="A47" s="658" t="s">
        <v>11390</v>
      </c>
      <c r="D47" s="680">
        <f t="shared" ref="D47" si="21">D226</f>
        <v>77244</v>
      </c>
      <c r="F47" s="658" t="s">
        <v>11376</v>
      </c>
    </row>
    <row r="48" spans="1:6">
      <c r="D48" s="681"/>
    </row>
    <row r="49" spans="1:6">
      <c r="A49" s="658" t="s">
        <v>10785</v>
      </c>
      <c r="D49" s="681">
        <f>'NORTH YORKSHIRE'!D17</f>
        <v>2196</v>
      </c>
      <c r="F49" s="678" t="s">
        <v>10786</v>
      </c>
    </row>
    <row r="50" spans="1:6" ht="15" thickBot="1">
      <c r="D50" s="680">
        <f t="shared" ref="D50" si="22">D259</f>
        <v>69081</v>
      </c>
      <c r="F50" s="658" t="s">
        <v>10787</v>
      </c>
    </row>
    <row r="51" spans="1:6" ht="15" thickBot="1">
      <c r="A51" s="658"/>
      <c r="D51" s="683">
        <f t="shared" ref="D51" si="23">D49+D50</f>
        <v>71277</v>
      </c>
      <c r="F51" s="658"/>
    </row>
    <row r="52" spans="1:6">
      <c r="D52" s="681"/>
    </row>
    <row r="53" spans="1:6">
      <c r="A53" s="658" t="s">
        <v>10788</v>
      </c>
      <c r="D53" s="681">
        <f>'NORTH YORKSHIRE'!D21</f>
        <v>2240</v>
      </c>
      <c r="F53" s="678" t="s">
        <v>10786</v>
      </c>
    </row>
    <row r="54" spans="1:6" ht="15" thickBot="1">
      <c r="D54" s="680">
        <f>D260</f>
        <v>69006</v>
      </c>
      <c r="F54" s="658" t="s">
        <v>10787</v>
      </c>
    </row>
    <row r="55" spans="1:6" ht="15" thickBot="1">
      <c r="D55" s="683">
        <f t="shared" ref="D55" si="24">D53+D54</f>
        <v>71246</v>
      </c>
    </row>
    <row r="56" spans="1:6">
      <c r="D56" s="681"/>
    </row>
    <row r="57" spans="1:6">
      <c r="A57" s="658" t="s">
        <v>11391</v>
      </c>
      <c r="D57" s="681">
        <f>D112</f>
        <v>10217</v>
      </c>
      <c r="F57" s="658" t="s">
        <v>11378</v>
      </c>
    </row>
    <row r="58" spans="1:6" ht="15" thickBot="1">
      <c r="D58" s="680">
        <f t="shared" ref="D58" si="25">D227</f>
        <v>64961</v>
      </c>
      <c r="F58" s="658" t="s">
        <v>11376</v>
      </c>
    </row>
    <row r="59" spans="1:6" ht="15" thickBot="1">
      <c r="A59" s="658"/>
      <c r="D59" s="683">
        <f t="shared" ref="D59" si="26">D57+D58</f>
        <v>75178</v>
      </c>
      <c r="F59" s="658"/>
    </row>
    <row r="60" spans="1:6">
      <c r="D60" s="681"/>
    </row>
    <row r="61" spans="1:6">
      <c r="A61" s="658" t="s">
        <v>11392</v>
      </c>
      <c r="D61" s="680">
        <f t="shared" ref="D61" si="27">D113</f>
        <v>60131</v>
      </c>
      <c r="F61" s="658" t="s">
        <v>11378</v>
      </c>
    </row>
    <row r="62" spans="1:6" ht="15" thickBot="1">
      <c r="A62" s="658"/>
      <c r="D62" s="680">
        <f>D201</f>
        <v>17779</v>
      </c>
      <c r="F62" s="658" t="s">
        <v>11376</v>
      </c>
    </row>
    <row r="63" spans="1:6" ht="15" thickBot="1">
      <c r="A63" s="658"/>
      <c r="D63" s="683">
        <f t="shared" ref="D63" si="28">D61+D62</f>
        <v>77910</v>
      </c>
      <c r="F63" s="658"/>
    </row>
    <row r="64" spans="1:6">
      <c r="A64" s="658"/>
      <c r="D64" s="680"/>
      <c r="F64" s="658"/>
    </row>
    <row r="65" spans="1:10">
      <c r="A65" s="658" t="s">
        <v>11393</v>
      </c>
      <c r="D65" s="680">
        <f>D114</f>
        <v>19901</v>
      </c>
      <c r="F65" s="658" t="s">
        <v>11378</v>
      </c>
    </row>
    <row r="66" spans="1:10" ht="15" thickBot="1">
      <c r="D66" s="680">
        <f>D178</f>
        <v>51206</v>
      </c>
      <c r="F66" s="658" t="s">
        <v>11165</v>
      </c>
    </row>
    <row r="67" spans="1:10" ht="15" thickBot="1">
      <c r="A67" s="658"/>
      <c r="D67" s="683">
        <f t="shared" ref="D67" si="29">D65+D66</f>
        <v>71107</v>
      </c>
      <c r="F67" s="658"/>
    </row>
    <row r="68" spans="1:10">
      <c r="D68" s="681"/>
    </row>
    <row r="69" spans="1:10">
      <c r="A69" s="658" t="s">
        <v>11394</v>
      </c>
      <c r="D69" s="685">
        <f t="shared" ref="D69" si="30">D261</f>
        <v>76312</v>
      </c>
      <c r="F69" s="658" t="s">
        <v>10787</v>
      </c>
    </row>
    <row r="70" spans="1:10">
      <c r="D70" s="681"/>
    </row>
    <row r="71" spans="1:10">
      <c r="A71" s="658" t="s">
        <v>1041</v>
      </c>
      <c r="D71" s="680">
        <f>D12+D17+D19+D21+D23+D26+D29+D31+D35+D37+D39+D41+D43+D45+D47+D50+D54+D59+D63+D67+D69</f>
        <v>1517655</v>
      </c>
    </row>
    <row r="72" spans="1:10">
      <c r="D72" s="681"/>
    </row>
    <row r="73" spans="1:10">
      <c r="A73" s="2"/>
      <c r="B73" s="2"/>
      <c r="C73" s="2"/>
      <c r="D73" s="2"/>
      <c r="E73" s="2"/>
      <c r="F73" s="2"/>
    </row>
    <row r="74" spans="1:10">
      <c r="D74" s="10" t="s">
        <v>285</v>
      </c>
      <c r="E74" s="11"/>
      <c r="F74" s="41" t="s">
        <v>4116</v>
      </c>
    </row>
    <row r="75" spans="1:10">
      <c r="D75" s="679">
        <v>2016</v>
      </c>
      <c r="F75" s="12" t="s">
        <v>286</v>
      </c>
    </row>
    <row r="76" spans="1:10">
      <c r="A76" s="658" t="s">
        <v>11395</v>
      </c>
      <c r="C76" s="658"/>
      <c r="D76" s="680">
        <f>SUM(D77:D106)</f>
        <v>326783</v>
      </c>
    </row>
    <row r="77" spans="1:10">
      <c r="A77" s="658" t="s">
        <v>812</v>
      </c>
      <c r="B77" s="658" t="s">
        <v>11396</v>
      </c>
      <c r="C77" s="1" t="s">
        <v>11397</v>
      </c>
      <c r="D77" s="8">
        <v>11542</v>
      </c>
      <c r="F77" s="658" t="s">
        <v>11392</v>
      </c>
      <c r="H77" s="1"/>
      <c r="J77" s="1"/>
    </row>
    <row r="78" spans="1:10">
      <c r="A78" s="658" t="s">
        <v>813</v>
      </c>
      <c r="B78" s="658" t="s">
        <v>11398</v>
      </c>
      <c r="C78" s="1" t="s">
        <v>11399</v>
      </c>
      <c r="D78" s="8">
        <v>13650</v>
      </c>
      <c r="F78" s="658" t="s">
        <v>11392</v>
      </c>
      <c r="H78" s="1"/>
      <c r="J78" s="1"/>
    </row>
    <row r="79" spans="1:10">
      <c r="A79" s="658" t="s">
        <v>814</v>
      </c>
      <c r="B79" s="658" t="s">
        <v>11400</v>
      </c>
      <c r="C79" s="1" t="s">
        <v>11401</v>
      </c>
      <c r="D79" s="8">
        <v>13576</v>
      </c>
      <c r="F79" s="658" t="s">
        <v>11392</v>
      </c>
      <c r="H79" s="1"/>
      <c r="J79" s="1"/>
    </row>
    <row r="80" spans="1:10">
      <c r="A80" s="658" t="s">
        <v>815</v>
      </c>
      <c r="B80" s="658" t="s">
        <v>11402</v>
      </c>
      <c r="C80" s="1" t="s">
        <v>11403</v>
      </c>
      <c r="D80" s="7">
        <v>10657</v>
      </c>
      <c r="F80" s="658" t="s">
        <v>11377</v>
      </c>
      <c r="H80" s="1"/>
      <c r="J80" s="1"/>
    </row>
    <row r="81" spans="1:10">
      <c r="A81" s="658" t="s">
        <v>816</v>
      </c>
      <c r="B81" s="658" t="s">
        <v>11404</v>
      </c>
      <c r="C81" s="1" t="s">
        <v>11405</v>
      </c>
      <c r="D81" s="7">
        <v>10773</v>
      </c>
      <c r="F81" s="658" t="s">
        <v>11377</v>
      </c>
      <c r="H81" s="1"/>
      <c r="J81" s="1"/>
    </row>
    <row r="82" spans="1:10">
      <c r="A82" s="658" t="s">
        <v>826</v>
      </c>
      <c r="B82" s="658" t="s">
        <v>11406</v>
      </c>
      <c r="C82" s="1" t="s">
        <v>11407</v>
      </c>
      <c r="D82" s="7">
        <v>10889</v>
      </c>
      <c r="F82" s="658" t="s">
        <v>11377</v>
      </c>
      <c r="H82" s="1"/>
      <c r="J82" s="1"/>
    </row>
    <row r="83" spans="1:10">
      <c r="A83" s="658" t="s">
        <v>827</v>
      </c>
      <c r="B83" s="658" t="s">
        <v>11408</v>
      </c>
      <c r="C83" s="1" t="s">
        <v>11409</v>
      </c>
      <c r="D83" s="7">
        <v>9418</v>
      </c>
      <c r="F83" s="658" t="s">
        <v>11379</v>
      </c>
      <c r="H83" s="1"/>
      <c r="J83" s="1"/>
    </row>
    <row r="84" spans="1:10">
      <c r="A84" s="658" t="s">
        <v>828</v>
      </c>
      <c r="B84" s="678" t="s">
        <v>11410</v>
      </c>
      <c r="C84" s="1" t="s">
        <v>11411</v>
      </c>
      <c r="D84" s="7">
        <v>10251</v>
      </c>
      <c r="F84" s="658" t="s">
        <v>11379</v>
      </c>
      <c r="H84" s="1"/>
      <c r="J84" s="1"/>
    </row>
    <row r="85" spans="1:10">
      <c r="A85" s="658" t="s">
        <v>829</v>
      </c>
      <c r="B85" s="658" t="s">
        <v>10576</v>
      </c>
      <c r="C85" s="1" t="s">
        <v>11412</v>
      </c>
      <c r="D85" s="8">
        <v>12773</v>
      </c>
      <c r="F85" s="658" t="s">
        <v>11386</v>
      </c>
      <c r="H85" s="1"/>
      <c r="J85" s="1"/>
    </row>
    <row r="86" spans="1:10">
      <c r="A86" s="658" t="s">
        <v>830</v>
      </c>
      <c r="B86" s="658" t="s">
        <v>11413</v>
      </c>
      <c r="C86" s="1" t="s">
        <v>11414</v>
      </c>
      <c r="D86" s="7">
        <v>10949</v>
      </c>
      <c r="F86" s="658" t="s">
        <v>11377</v>
      </c>
      <c r="H86" s="1"/>
      <c r="J86" s="1"/>
    </row>
    <row r="87" spans="1:10">
      <c r="A87" s="658" t="s">
        <v>831</v>
      </c>
      <c r="B87" s="658" t="s">
        <v>11415</v>
      </c>
      <c r="C87" s="1" t="s">
        <v>11416</v>
      </c>
      <c r="D87" s="7">
        <v>9911</v>
      </c>
      <c r="F87" s="658" t="s">
        <v>11379</v>
      </c>
      <c r="H87" s="1"/>
      <c r="J87" s="1"/>
    </row>
    <row r="88" spans="1:10">
      <c r="A88" s="658" t="s">
        <v>832</v>
      </c>
      <c r="B88" s="658" t="s">
        <v>9864</v>
      </c>
      <c r="C88" s="1" t="s">
        <v>11417</v>
      </c>
      <c r="D88" s="7">
        <v>10364</v>
      </c>
      <c r="F88" s="658" t="s">
        <v>11379</v>
      </c>
      <c r="H88" s="1"/>
      <c r="J88" s="1"/>
    </row>
    <row r="89" spans="1:10">
      <c r="A89" s="658" t="s">
        <v>833</v>
      </c>
      <c r="B89" s="658" t="s">
        <v>11418</v>
      </c>
      <c r="C89" s="1" t="s">
        <v>11419</v>
      </c>
      <c r="D89" s="7">
        <v>11843</v>
      </c>
      <c r="F89" s="658" t="s">
        <v>11377</v>
      </c>
      <c r="H89" s="1"/>
      <c r="J89" s="1"/>
    </row>
    <row r="90" spans="1:10">
      <c r="A90" s="658" t="s">
        <v>834</v>
      </c>
      <c r="B90" s="658" t="s">
        <v>11420</v>
      </c>
      <c r="C90" s="1" t="s">
        <v>11421</v>
      </c>
      <c r="D90" s="8">
        <v>11563</v>
      </c>
      <c r="F90" s="658" t="s">
        <v>11386</v>
      </c>
      <c r="H90" s="1"/>
      <c r="J90" s="1"/>
    </row>
    <row r="91" spans="1:10">
      <c r="A91" s="658" t="s">
        <v>835</v>
      </c>
      <c r="B91" s="658" t="s">
        <v>11422</v>
      </c>
      <c r="C91" s="1" t="s">
        <v>11423</v>
      </c>
      <c r="D91" s="8">
        <v>10408</v>
      </c>
      <c r="F91" s="658" t="s">
        <v>11386</v>
      </c>
      <c r="H91" s="1"/>
      <c r="J91" s="1"/>
    </row>
    <row r="92" spans="1:10">
      <c r="A92" s="658" t="s">
        <v>836</v>
      </c>
      <c r="B92" s="658" t="s">
        <v>11424</v>
      </c>
      <c r="C92" s="1" t="s">
        <v>11425</v>
      </c>
      <c r="D92" s="8">
        <v>11447</v>
      </c>
      <c r="F92" s="658" t="s">
        <v>11386</v>
      </c>
      <c r="H92" s="1"/>
      <c r="J92" s="1"/>
    </row>
    <row r="93" spans="1:10">
      <c r="A93" s="658" t="s">
        <v>837</v>
      </c>
      <c r="B93" s="658" t="s">
        <v>11426</v>
      </c>
      <c r="C93" s="1" t="s">
        <v>11427</v>
      </c>
      <c r="D93" s="8">
        <v>10739</v>
      </c>
      <c r="F93" s="658" t="s">
        <v>11386</v>
      </c>
      <c r="H93" s="1"/>
      <c r="J93" s="1"/>
    </row>
    <row r="94" spans="1:10">
      <c r="A94" s="658" t="s">
        <v>838</v>
      </c>
      <c r="B94" s="658" t="s">
        <v>11428</v>
      </c>
      <c r="C94" s="1" t="s">
        <v>11429</v>
      </c>
      <c r="D94" s="7">
        <v>9841</v>
      </c>
      <c r="F94" s="658" t="s">
        <v>11377</v>
      </c>
      <c r="H94" s="1"/>
      <c r="J94" s="1"/>
    </row>
    <row r="95" spans="1:10">
      <c r="A95" s="658" t="s">
        <v>840</v>
      </c>
      <c r="B95" s="658" t="s">
        <v>11430</v>
      </c>
      <c r="C95" s="1" t="s">
        <v>11431</v>
      </c>
      <c r="D95" s="8">
        <v>10002</v>
      </c>
      <c r="F95" s="658" t="s">
        <v>11377</v>
      </c>
      <c r="H95" s="1"/>
      <c r="J95" s="1"/>
    </row>
    <row r="96" spans="1:10">
      <c r="A96" s="658" t="s">
        <v>841</v>
      </c>
      <c r="B96" s="658" t="s">
        <v>9342</v>
      </c>
      <c r="C96" s="1" t="s">
        <v>11432</v>
      </c>
      <c r="D96" s="7">
        <v>11681</v>
      </c>
      <c r="F96" s="658" t="s">
        <v>11379</v>
      </c>
      <c r="H96" s="1"/>
      <c r="J96" s="1"/>
    </row>
    <row r="97" spans="1:10">
      <c r="A97" s="658" t="s">
        <v>878</v>
      </c>
      <c r="B97" s="658" t="s">
        <v>11433</v>
      </c>
      <c r="C97" s="1" t="s">
        <v>11434</v>
      </c>
      <c r="D97" s="7">
        <v>11258</v>
      </c>
      <c r="F97" s="658" t="s">
        <v>11384</v>
      </c>
      <c r="H97" s="1"/>
      <c r="J97" s="1"/>
    </row>
    <row r="98" spans="1:10">
      <c r="A98" s="658" t="s">
        <v>879</v>
      </c>
      <c r="B98" s="658" t="s">
        <v>11435</v>
      </c>
      <c r="C98" s="1" t="s">
        <v>11436</v>
      </c>
      <c r="D98" s="8">
        <v>10788</v>
      </c>
      <c r="F98" s="658" t="s">
        <v>11392</v>
      </c>
      <c r="H98" s="1"/>
      <c r="J98" s="1"/>
    </row>
    <row r="99" spans="1:10">
      <c r="A99" s="658" t="s">
        <v>880</v>
      </c>
      <c r="B99" s="658" t="s">
        <v>11437</v>
      </c>
      <c r="C99" s="1" t="s">
        <v>11438</v>
      </c>
      <c r="D99" s="8">
        <v>11248</v>
      </c>
      <c r="F99" s="658" t="s">
        <v>11379</v>
      </c>
      <c r="H99" s="1"/>
      <c r="J99" s="1"/>
    </row>
    <row r="100" spans="1:10">
      <c r="A100" s="658" t="s">
        <v>721</v>
      </c>
      <c r="B100" s="658" t="s">
        <v>5235</v>
      </c>
      <c r="C100" s="1" t="s">
        <v>11439</v>
      </c>
      <c r="D100" s="8">
        <v>10813</v>
      </c>
      <c r="F100" s="658" t="s">
        <v>11379</v>
      </c>
      <c r="H100" s="1"/>
      <c r="J100" s="1"/>
    </row>
    <row r="101" spans="1:10">
      <c r="A101" s="658" t="s">
        <v>722</v>
      </c>
      <c r="B101" s="658" t="s">
        <v>11440</v>
      </c>
      <c r="C101" s="1" t="s">
        <v>11441</v>
      </c>
      <c r="D101" s="7">
        <v>10217</v>
      </c>
      <c r="F101" s="658" t="s">
        <v>11391</v>
      </c>
      <c r="H101" s="1"/>
      <c r="J101" s="1"/>
    </row>
    <row r="102" spans="1:10">
      <c r="A102" s="658" t="s">
        <v>723</v>
      </c>
      <c r="B102" s="658" t="s">
        <v>11442</v>
      </c>
      <c r="C102" s="1" t="s">
        <v>11443</v>
      </c>
      <c r="D102" s="8">
        <v>9226</v>
      </c>
      <c r="F102" s="658" t="s">
        <v>11386</v>
      </c>
      <c r="H102" s="1"/>
      <c r="J102" s="1"/>
    </row>
    <row r="103" spans="1:10">
      <c r="A103" s="658" t="s">
        <v>733</v>
      </c>
      <c r="B103" s="658" t="s">
        <v>11444</v>
      </c>
      <c r="C103" s="1" t="s">
        <v>11445</v>
      </c>
      <c r="D103" s="7">
        <v>10027</v>
      </c>
      <c r="F103" s="658" t="s">
        <v>11393</v>
      </c>
      <c r="H103" s="1"/>
      <c r="J103" s="1"/>
    </row>
    <row r="104" spans="1:10">
      <c r="A104" s="658" t="s">
        <v>734</v>
      </c>
      <c r="B104" s="658" t="s">
        <v>11446</v>
      </c>
      <c r="C104" s="1" t="s">
        <v>11447</v>
      </c>
      <c r="D104" s="8">
        <v>10575</v>
      </c>
      <c r="F104" s="658" t="s">
        <v>11392</v>
      </c>
      <c r="H104" s="1"/>
      <c r="J104" s="1"/>
    </row>
    <row r="105" spans="1:10">
      <c r="A105" s="658" t="s">
        <v>735</v>
      </c>
      <c r="B105" s="658" t="s">
        <v>11448</v>
      </c>
      <c r="C105" s="1" t="s">
        <v>11449</v>
      </c>
      <c r="D105" s="8">
        <v>10480</v>
      </c>
      <c r="F105" s="658" t="s">
        <v>11386</v>
      </c>
      <c r="H105" s="1"/>
      <c r="J105" s="1"/>
    </row>
    <row r="106" spans="1:10">
      <c r="A106" s="658" t="s">
        <v>736</v>
      </c>
      <c r="B106" s="658" t="s">
        <v>11450</v>
      </c>
      <c r="C106" s="1" t="s">
        <v>11451</v>
      </c>
      <c r="D106" s="7">
        <v>9874</v>
      </c>
      <c r="F106" s="658" t="s">
        <v>11393</v>
      </c>
    </row>
    <row r="107" spans="1:10">
      <c r="D107" s="681"/>
    </row>
    <row r="108" spans="1:10">
      <c r="A108" s="658" t="s">
        <v>11377</v>
      </c>
      <c r="D108" s="680">
        <f>SUM(D80:D82)+D86+D89+D94+D95</f>
        <v>74954</v>
      </c>
    </row>
    <row r="109" spans="1:10">
      <c r="A109" s="658" t="s">
        <v>11379</v>
      </c>
      <c r="D109" s="680">
        <f>D83+D84+D87+D88+D96+D99+D100</f>
        <v>73686</v>
      </c>
    </row>
    <row r="110" spans="1:10">
      <c r="A110" s="658" t="s">
        <v>11452</v>
      </c>
      <c r="D110" s="680">
        <f>D97</f>
        <v>11258</v>
      </c>
    </row>
    <row r="111" spans="1:10">
      <c r="A111" s="658" t="s">
        <v>11386</v>
      </c>
      <c r="D111" s="680">
        <f>D85+SUM(D90:D93)+D102+D105</f>
        <v>76636</v>
      </c>
    </row>
    <row r="112" spans="1:10">
      <c r="A112" s="658" t="s">
        <v>11453</v>
      </c>
      <c r="D112" s="680">
        <f>D101</f>
        <v>10217</v>
      </c>
    </row>
    <row r="113" spans="1:10">
      <c r="A113" s="658" t="s">
        <v>11454</v>
      </c>
      <c r="D113" s="680">
        <f>D77+D78+D79+D98+D104</f>
        <v>60131</v>
      </c>
    </row>
    <row r="114" spans="1:10">
      <c r="A114" s="658" t="s">
        <v>11455</v>
      </c>
      <c r="D114" s="680">
        <f>D103+D106</f>
        <v>19901</v>
      </c>
    </row>
    <row r="115" spans="1:10">
      <c r="A115" s="658"/>
      <c r="D115" s="680"/>
    </row>
    <row r="116" spans="1:10">
      <c r="A116" s="658" t="s">
        <v>11456</v>
      </c>
      <c r="D116" s="680"/>
    </row>
    <row r="117" spans="1:10" ht="15.75" customHeight="1">
      <c r="A117" s="658" t="s">
        <v>11457</v>
      </c>
      <c r="B117" s="658"/>
      <c r="D117" s="686"/>
    </row>
    <row r="118" spans="1:10" ht="15.75" customHeight="1">
      <c r="A118" s="658"/>
      <c r="B118" s="658"/>
      <c r="D118" s="686"/>
    </row>
    <row r="119" spans="1:10">
      <c r="A119" s="658"/>
      <c r="B119" s="658"/>
      <c r="D119" s="686"/>
    </row>
    <row r="120" spans="1:10">
      <c r="D120" s="10" t="s">
        <v>285</v>
      </c>
      <c r="E120" s="11"/>
      <c r="F120" s="41" t="s">
        <v>4116</v>
      </c>
    </row>
    <row r="121" spans="1:10">
      <c r="D121" s="679">
        <v>2016</v>
      </c>
      <c r="F121" s="12" t="s">
        <v>286</v>
      </c>
    </row>
    <row r="122" spans="1:10">
      <c r="A122" s="658" t="s">
        <v>11458</v>
      </c>
      <c r="D122" s="680">
        <f t="shared" ref="D122" si="31">SUM(D123:D139)</f>
        <v>142864</v>
      </c>
    </row>
    <row r="123" spans="1:10">
      <c r="A123" s="658" t="s">
        <v>812</v>
      </c>
      <c r="B123" s="658" t="s">
        <v>11459</v>
      </c>
      <c r="C123" s="1" t="s">
        <v>11460</v>
      </c>
      <c r="D123" s="13">
        <v>8115</v>
      </c>
      <c r="F123" s="658" t="s">
        <v>11384</v>
      </c>
      <c r="H123" s="1"/>
      <c r="J123" s="1"/>
    </row>
    <row r="124" spans="1:10">
      <c r="A124" s="658" t="s">
        <v>813</v>
      </c>
      <c r="B124" s="658" t="s">
        <v>11461</v>
      </c>
      <c r="C124" s="1" t="s">
        <v>11462</v>
      </c>
      <c r="D124" s="13">
        <v>8906</v>
      </c>
      <c r="F124" s="658" t="s">
        <v>11380</v>
      </c>
      <c r="H124" s="1"/>
      <c r="J124" s="1"/>
    </row>
    <row r="125" spans="1:10">
      <c r="A125" s="658" t="s">
        <v>814</v>
      </c>
      <c r="B125" s="658" t="s">
        <v>11463</v>
      </c>
      <c r="C125" s="1" t="s">
        <v>11464</v>
      </c>
      <c r="D125" s="13">
        <v>8094</v>
      </c>
      <c r="F125" s="658" t="s">
        <v>11384</v>
      </c>
      <c r="H125" s="1"/>
      <c r="J125" s="1"/>
    </row>
    <row r="126" spans="1:10">
      <c r="A126" s="658" t="s">
        <v>815</v>
      </c>
      <c r="B126" s="658" t="s">
        <v>11465</v>
      </c>
      <c r="C126" s="1" t="s">
        <v>11466</v>
      </c>
      <c r="D126" s="13">
        <v>8249</v>
      </c>
      <c r="F126" s="658" t="s">
        <v>11380</v>
      </c>
      <c r="H126" s="1"/>
      <c r="J126" s="1"/>
    </row>
    <row r="127" spans="1:10">
      <c r="A127" s="658" t="s">
        <v>816</v>
      </c>
      <c r="B127" s="658" t="s">
        <v>11467</v>
      </c>
      <c r="C127" s="1" t="s">
        <v>11468</v>
      </c>
      <c r="D127" s="13">
        <v>8670</v>
      </c>
      <c r="F127" s="658" t="s">
        <v>11384</v>
      </c>
      <c r="H127" s="1"/>
      <c r="J127" s="1"/>
    </row>
    <row r="128" spans="1:10">
      <c r="A128" s="658" t="s">
        <v>826</v>
      </c>
      <c r="B128" s="658" t="s">
        <v>11469</v>
      </c>
      <c r="C128" s="1" t="s">
        <v>11470</v>
      </c>
      <c r="D128" s="13">
        <v>8779</v>
      </c>
      <c r="F128" s="658" t="s">
        <v>11380</v>
      </c>
      <c r="H128" s="1"/>
      <c r="J128" s="1"/>
    </row>
    <row r="129" spans="1:10">
      <c r="A129" s="658" t="s">
        <v>827</v>
      </c>
      <c r="B129" s="658" t="s">
        <v>11471</v>
      </c>
      <c r="C129" s="1" t="s">
        <v>11472</v>
      </c>
      <c r="D129" s="13">
        <v>7828</v>
      </c>
      <c r="F129" s="658" t="s">
        <v>11380</v>
      </c>
      <c r="H129" s="1"/>
      <c r="J129" s="1"/>
    </row>
    <row r="130" spans="1:10">
      <c r="A130" s="658" t="s">
        <v>828</v>
      </c>
      <c r="B130" s="658" t="s">
        <v>11473</v>
      </c>
      <c r="C130" s="1" t="s">
        <v>11474</v>
      </c>
      <c r="D130" s="13">
        <v>8800</v>
      </c>
      <c r="F130" s="658" t="s">
        <v>11384</v>
      </c>
      <c r="H130" s="1"/>
      <c r="J130" s="1"/>
    </row>
    <row r="131" spans="1:10">
      <c r="A131" s="658" t="s">
        <v>829</v>
      </c>
      <c r="B131" s="658" t="s">
        <v>11475</v>
      </c>
      <c r="C131" s="1" t="s">
        <v>11476</v>
      </c>
      <c r="D131" s="13">
        <v>7855</v>
      </c>
      <c r="F131" s="658" t="s">
        <v>11384</v>
      </c>
      <c r="H131" s="1"/>
      <c r="J131" s="1"/>
    </row>
    <row r="132" spans="1:10">
      <c r="A132" s="658" t="s">
        <v>830</v>
      </c>
      <c r="B132" s="658" t="s">
        <v>303</v>
      </c>
      <c r="C132" s="1" t="s">
        <v>11477</v>
      </c>
      <c r="D132" s="13">
        <v>8439</v>
      </c>
      <c r="F132" s="658" t="s">
        <v>11384</v>
      </c>
      <c r="H132" s="1"/>
      <c r="J132" s="1"/>
    </row>
    <row r="133" spans="1:10">
      <c r="A133" s="658" t="s">
        <v>831</v>
      </c>
      <c r="B133" s="658" t="s">
        <v>11478</v>
      </c>
      <c r="C133" s="1" t="s">
        <v>11479</v>
      </c>
      <c r="D133" s="13">
        <v>8048</v>
      </c>
      <c r="F133" s="658" t="s">
        <v>11384</v>
      </c>
      <c r="H133" s="1"/>
      <c r="J133" s="1"/>
    </row>
    <row r="134" spans="1:10">
      <c r="A134" s="658" t="s">
        <v>832</v>
      </c>
      <c r="B134" s="658" t="s">
        <v>11480</v>
      </c>
      <c r="C134" s="1" t="s">
        <v>11481</v>
      </c>
      <c r="D134" s="13">
        <v>8567</v>
      </c>
      <c r="F134" s="658" t="s">
        <v>11380</v>
      </c>
      <c r="H134" s="1"/>
      <c r="J134" s="1"/>
    </row>
    <row r="135" spans="1:10">
      <c r="A135" s="658" t="s">
        <v>833</v>
      </c>
      <c r="B135" s="658" t="s">
        <v>11482</v>
      </c>
      <c r="C135" s="1" t="s">
        <v>11483</v>
      </c>
      <c r="D135" s="13">
        <v>9125</v>
      </c>
      <c r="F135" s="658" t="s">
        <v>11380</v>
      </c>
      <c r="H135" s="1"/>
      <c r="J135" s="1"/>
    </row>
    <row r="136" spans="1:10">
      <c r="A136" s="658" t="s">
        <v>834</v>
      </c>
      <c r="B136" s="658" t="s">
        <v>11484</v>
      </c>
      <c r="C136" s="1" t="s">
        <v>11485</v>
      </c>
      <c r="D136" s="13">
        <v>8198</v>
      </c>
      <c r="F136" s="658" t="s">
        <v>11380</v>
      </c>
      <c r="H136" s="1"/>
      <c r="J136" s="1"/>
    </row>
    <row r="137" spans="1:10">
      <c r="A137" s="658" t="s">
        <v>835</v>
      </c>
      <c r="B137" s="658" t="s">
        <v>11486</v>
      </c>
      <c r="C137" s="1" t="s">
        <v>11487</v>
      </c>
      <c r="D137" s="13">
        <v>8582</v>
      </c>
      <c r="F137" s="658" t="s">
        <v>11380</v>
      </c>
      <c r="H137" s="1"/>
      <c r="J137" s="1"/>
    </row>
    <row r="138" spans="1:10">
      <c r="A138" s="658" t="s">
        <v>836</v>
      </c>
      <c r="B138" s="658" t="s">
        <v>2865</v>
      </c>
      <c r="C138" s="1" t="s">
        <v>11488</v>
      </c>
      <c r="D138" s="13">
        <v>8242</v>
      </c>
      <c r="F138" s="658" t="s">
        <v>11384</v>
      </c>
      <c r="H138" s="1"/>
      <c r="J138" s="1"/>
    </row>
    <row r="139" spans="1:10">
      <c r="A139" s="658" t="s">
        <v>837</v>
      </c>
      <c r="B139" s="658" t="s">
        <v>7553</v>
      </c>
      <c r="C139" s="1" t="s">
        <v>11489</v>
      </c>
      <c r="D139" s="13">
        <v>8367</v>
      </c>
      <c r="F139" s="658" t="s">
        <v>11380</v>
      </c>
      <c r="H139" s="1"/>
      <c r="J139" s="1"/>
    </row>
    <row r="140" spans="1:10">
      <c r="D140" s="681"/>
    </row>
    <row r="141" spans="1:10">
      <c r="A141" s="658" t="s">
        <v>11380</v>
      </c>
      <c r="D141" s="680">
        <f>D124+D126+D128+D129+SUM(D134:D137)+D139</f>
        <v>76601</v>
      </c>
    </row>
    <row r="142" spans="1:10">
      <c r="A142" s="658" t="s">
        <v>11452</v>
      </c>
      <c r="D142" s="680">
        <f>D123+D125+D127+SUM(D130:D133)+D138</f>
        <v>66263</v>
      </c>
    </row>
    <row r="143" spans="1:10">
      <c r="A143" s="658"/>
      <c r="D143" s="680"/>
    </row>
    <row r="144" spans="1:10">
      <c r="A144" s="658" t="s">
        <v>11490</v>
      </c>
      <c r="D144" s="680"/>
    </row>
    <row r="145" spans="1:10">
      <c r="A145" s="658"/>
      <c r="B145" s="658"/>
      <c r="D145" s="686"/>
    </row>
    <row r="146" spans="1:10">
      <c r="A146" s="658"/>
      <c r="B146" s="658"/>
      <c r="D146" s="686"/>
    </row>
    <row r="147" spans="1:10">
      <c r="D147" s="10" t="s">
        <v>285</v>
      </c>
      <c r="E147" s="11"/>
      <c r="F147" s="41" t="s">
        <v>4116</v>
      </c>
    </row>
    <row r="148" spans="1:10">
      <c r="D148" s="679">
        <v>2016</v>
      </c>
      <c r="F148" s="12" t="s">
        <v>286</v>
      </c>
    </row>
    <row r="149" spans="1:10">
      <c r="A149" s="658" t="s">
        <v>11491</v>
      </c>
      <c r="D149" s="680">
        <f>SUM(D150:D168)+SUM(D169:D172)</f>
        <v>295405</v>
      </c>
    </row>
    <row r="150" spans="1:10">
      <c r="A150" s="687">
        <v>1</v>
      </c>
      <c r="B150" s="658" t="s">
        <v>11492</v>
      </c>
      <c r="C150" s="1" t="s">
        <v>11493</v>
      </c>
      <c r="D150" s="8">
        <v>13363</v>
      </c>
      <c r="F150" s="658" t="s">
        <v>11385</v>
      </c>
      <c r="H150" s="1"/>
      <c r="J150" s="1"/>
    </row>
    <row r="151" spans="1:10">
      <c r="A151" s="658" t="s">
        <v>813</v>
      </c>
      <c r="B151" s="658" t="s">
        <v>11494</v>
      </c>
      <c r="C151" s="1" t="s">
        <v>11495</v>
      </c>
      <c r="D151" s="8">
        <v>12980</v>
      </c>
      <c r="F151" s="658" t="s">
        <v>11385</v>
      </c>
      <c r="H151" s="1"/>
      <c r="J151" s="1"/>
    </row>
    <row r="152" spans="1:10">
      <c r="A152" s="658" t="s">
        <v>814</v>
      </c>
      <c r="B152" s="658" t="s">
        <v>11496</v>
      </c>
      <c r="C152" s="1" t="s">
        <v>11497</v>
      </c>
      <c r="D152" s="7">
        <v>12092</v>
      </c>
      <c r="F152" s="658" t="s">
        <v>11375</v>
      </c>
      <c r="H152" s="1"/>
      <c r="J152" s="1"/>
    </row>
    <row r="153" spans="1:10">
      <c r="A153" s="658" t="s">
        <v>815</v>
      </c>
      <c r="B153" s="658" t="s">
        <v>11498</v>
      </c>
      <c r="C153" s="1" t="s">
        <v>11499</v>
      </c>
      <c r="D153" s="7">
        <v>12663</v>
      </c>
      <c r="F153" s="658" t="s">
        <v>11375</v>
      </c>
      <c r="H153" s="1"/>
      <c r="J153" s="1"/>
    </row>
    <row r="154" spans="1:10">
      <c r="A154" s="658" t="s">
        <v>816</v>
      </c>
      <c r="B154" s="658" t="s">
        <v>11500</v>
      </c>
      <c r="C154" s="1" t="s">
        <v>11501</v>
      </c>
      <c r="D154" s="7">
        <v>12155</v>
      </c>
      <c r="F154" s="658" t="s">
        <v>11393</v>
      </c>
      <c r="H154" s="1"/>
      <c r="J154" s="1"/>
    </row>
    <row r="155" spans="1:10">
      <c r="A155" s="658" t="s">
        <v>826</v>
      </c>
      <c r="B155" s="658" t="s">
        <v>11502</v>
      </c>
      <c r="C155" s="1" t="s">
        <v>11503</v>
      </c>
      <c r="D155" s="7">
        <v>12719</v>
      </c>
      <c r="F155" s="658" t="s">
        <v>11393</v>
      </c>
      <c r="H155" s="1"/>
      <c r="J155" s="1"/>
    </row>
    <row r="156" spans="1:10">
      <c r="A156" s="658" t="s">
        <v>827</v>
      </c>
      <c r="B156" s="658" t="s">
        <v>11504</v>
      </c>
      <c r="C156" s="1" t="s">
        <v>11505</v>
      </c>
      <c r="D156" s="7">
        <v>13093</v>
      </c>
      <c r="F156" s="658" t="s">
        <v>11164</v>
      </c>
      <c r="H156" s="1"/>
      <c r="J156" s="1"/>
    </row>
    <row r="157" spans="1:10">
      <c r="A157" s="658" t="s">
        <v>828</v>
      </c>
      <c r="B157" s="658" t="s">
        <v>11506</v>
      </c>
      <c r="C157" s="1" t="s">
        <v>11507</v>
      </c>
      <c r="D157" s="7">
        <v>12481</v>
      </c>
      <c r="F157" s="658" t="s">
        <v>11164</v>
      </c>
      <c r="H157" s="1"/>
      <c r="J157" s="1"/>
    </row>
    <row r="158" spans="1:10">
      <c r="A158" s="658" t="s">
        <v>829</v>
      </c>
      <c r="B158" s="658" t="s">
        <v>11508</v>
      </c>
      <c r="C158" s="1" t="s">
        <v>11509</v>
      </c>
      <c r="D158" s="8">
        <v>12034</v>
      </c>
      <c r="F158" s="658" t="s">
        <v>11385</v>
      </c>
      <c r="H158" s="1"/>
      <c r="J158" s="1"/>
    </row>
    <row r="159" spans="1:10">
      <c r="A159" s="658" t="s">
        <v>830</v>
      </c>
      <c r="B159" s="658" t="s">
        <v>11510</v>
      </c>
      <c r="C159" s="1" t="s">
        <v>11511</v>
      </c>
      <c r="D159" s="7">
        <v>12647</v>
      </c>
      <c r="F159" s="658" t="s">
        <v>11382</v>
      </c>
      <c r="H159" s="1"/>
      <c r="J159" s="1"/>
    </row>
    <row r="160" spans="1:10">
      <c r="A160" s="658" t="s">
        <v>831</v>
      </c>
      <c r="B160" s="658" t="s">
        <v>11512</v>
      </c>
      <c r="C160" s="1" t="s">
        <v>11513</v>
      </c>
      <c r="D160" s="7">
        <v>12811</v>
      </c>
      <c r="F160" s="658" t="s">
        <v>11382</v>
      </c>
      <c r="H160" s="1"/>
      <c r="J160" s="1"/>
    </row>
    <row r="161" spans="1:10">
      <c r="A161" s="658" t="s">
        <v>832</v>
      </c>
      <c r="B161" s="658" t="s">
        <v>11514</v>
      </c>
      <c r="C161" s="1" t="s">
        <v>11515</v>
      </c>
      <c r="D161" s="8">
        <v>12662</v>
      </c>
      <c r="F161" s="658" t="s">
        <v>11382</v>
      </c>
      <c r="H161" s="1"/>
      <c r="J161" s="1"/>
    </row>
    <row r="162" spans="1:10">
      <c r="A162" s="658" t="s">
        <v>833</v>
      </c>
      <c r="B162" s="658" t="s">
        <v>11516</v>
      </c>
      <c r="C162" s="1" t="s">
        <v>11517</v>
      </c>
      <c r="D162" s="8">
        <v>12347</v>
      </c>
      <c r="F162" s="658" t="s">
        <v>11382</v>
      </c>
      <c r="H162" s="1"/>
      <c r="J162" s="1"/>
    </row>
    <row r="163" spans="1:10">
      <c r="A163" s="658" t="s">
        <v>834</v>
      </c>
      <c r="B163" s="658" t="s">
        <v>11518</v>
      </c>
      <c r="C163" s="1" t="s">
        <v>11519</v>
      </c>
      <c r="D163" s="7">
        <v>13141</v>
      </c>
      <c r="F163" s="658" t="s">
        <v>11164</v>
      </c>
      <c r="H163" s="1"/>
      <c r="J163" s="1"/>
    </row>
    <row r="164" spans="1:10">
      <c r="A164" s="658" t="s">
        <v>835</v>
      </c>
      <c r="B164" s="658" t="s">
        <v>11520</v>
      </c>
      <c r="C164" s="1" t="s">
        <v>11521</v>
      </c>
      <c r="D164" s="8">
        <v>12595</v>
      </c>
      <c r="F164" s="658" t="s">
        <v>11385</v>
      </c>
      <c r="H164" s="1"/>
      <c r="J164" s="1"/>
    </row>
    <row r="165" spans="1:10">
      <c r="A165" s="658" t="s">
        <v>836</v>
      </c>
      <c r="B165" s="658" t="s">
        <v>11522</v>
      </c>
      <c r="C165" s="1" t="s">
        <v>11523</v>
      </c>
      <c r="D165" s="7">
        <v>12803</v>
      </c>
      <c r="F165" s="658" t="s">
        <v>11393</v>
      </c>
      <c r="H165" s="1"/>
      <c r="J165" s="1"/>
    </row>
    <row r="166" spans="1:10">
      <c r="A166" s="658" t="s">
        <v>837</v>
      </c>
      <c r="B166" s="658" t="s">
        <v>11524</v>
      </c>
      <c r="C166" s="1" t="s">
        <v>11525</v>
      </c>
      <c r="D166" s="7">
        <v>12677</v>
      </c>
      <c r="F166" s="658" t="s">
        <v>11164</v>
      </c>
      <c r="H166" s="1"/>
      <c r="J166" s="1"/>
    </row>
    <row r="167" spans="1:10">
      <c r="A167" s="658" t="s">
        <v>838</v>
      </c>
      <c r="B167" s="658" t="s">
        <v>11526</v>
      </c>
      <c r="C167" s="1" t="s">
        <v>11527</v>
      </c>
      <c r="D167" s="7">
        <v>14345</v>
      </c>
      <c r="F167" s="658" t="s">
        <v>11164</v>
      </c>
      <c r="H167" s="1"/>
      <c r="J167" s="1"/>
    </row>
    <row r="168" spans="1:10">
      <c r="A168" s="658" t="s">
        <v>840</v>
      </c>
      <c r="B168" s="658" t="s">
        <v>11528</v>
      </c>
      <c r="C168" s="1" t="s">
        <v>11529</v>
      </c>
      <c r="D168" s="8">
        <v>11716</v>
      </c>
      <c r="F168" s="658" t="s">
        <v>11382</v>
      </c>
      <c r="H168" s="1"/>
      <c r="J168" s="1"/>
    </row>
    <row r="169" spans="1:10">
      <c r="A169" s="658" t="s">
        <v>841</v>
      </c>
      <c r="B169" s="658" t="s">
        <v>11530</v>
      </c>
      <c r="C169" s="1" t="s">
        <v>11531</v>
      </c>
      <c r="D169" s="7">
        <v>14175</v>
      </c>
      <c r="F169" s="658" t="s">
        <v>11385</v>
      </c>
      <c r="H169" s="1"/>
      <c r="J169" s="1"/>
    </row>
    <row r="170" spans="1:10">
      <c r="A170" s="658" t="s">
        <v>878</v>
      </c>
      <c r="B170" s="658" t="s">
        <v>11532</v>
      </c>
      <c r="C170" s="1" t="s">
        <v>11533</v>
      </c>
      <c r="D170" s="7">
        <v>13529</v>
      </c>
      <c r="F170" s="658" t="s">
        <v>11393</v>
      </c>
      <c r="H170" s="1"/>
      <c r="J170" s="1"/>
    </row>
    <row r="171" spans="1:10">
      <c r="A171" s="658" t="s">
        <v>879</v>
      </c>
      <c r="B171" s="658" t="s">
        <v>11534</v>
      </c>
      <c r="C171" s="1" t="s">
        <v>11535</v>
      </c>
      <c r="D171" s="8">
        <v>14984</v>
      </c>
      <c r="F171" s="658" t="s">
        <v>11382</v>
      </c>
      <c r="H171" s="1"/>
      <c r="J171" s="1"/>
    </row>
    <row r="172" spans="1:10">
      <c r="A172" s="658" t="s">
        <v>880</v>
      </c>
      <c r="B172" s="658" t="s">
        <v>11536</v>
      </c>
      <c r="C172" s="1" t="s">
        <v>11537</v>
      </c>
      <c r="D172" s="8">
        <v>11393</v>
      </c>
      <c r="F172" s="658" t="s">
        <v>11385</v>
      </c>
      <c r="H172" s="1"/>
      <c r="J172" s="1"/>
    </row>
    <row r="173" spans="1:10">
      <c r="D173" s="681"/>
    </row>
    <row r="174" spans="1:10">
      <c r="A174" s="658" t="s">
        <v>11538</v>
      </c>
      <c r="D174" s="681">
        <f>D152+D153</f>
        <v>24755</v>
      </c>
    </row>
    <row r="175" spans="1:10">
      <c r="A175" s="658" t="s">
        <v>11222</v>
      </c>
      <c r="D175" s="680">
        <f>D156+D157+D163+D166+D167</f>
        <v>65737</v>
      </c>
    </row>
    <row r="176" spans="1:10">
      <c r="A176" s="658" t="s">
        <v>11382</v>
      </c>
      <c r="D176" s="680">
        <f>SUM(D159:D162)+D168+D171</f>
        <v>77167</v>
      </c>
    </row>
    <row r="177" spans="1:10">
      <c r="A177" s="658" t="s">
        <v>11385</v>
      </c>
      <c r="D177" s="680">
        <f>D150+D151+D158+D164+D169+D172</f>
        <v>76540</v>
      </c>
    </row>
    <row r="178" spans="1:10">
      <c r="A178" s="658" t="s">
        <v>11455</v>
      </c>
      <c r="D178" s="680">
        <f>SUM(D154:D155)+D165+D170</f>
        <v>51206</v>
      </c>
    </row>
    <row r="179" spans="1:10">
      <c r="A179" s="658"/>
      <c r="D179" s="680"/>
    </row>
    <row r="180" spans="1:10">
      <c r="A180" s="658" t="s">
        <v>11539</v>
      </c>
      <c r="D180" s="680"/>
    </row>
    <row r="181" spans="1:10">
      <c r="A181" s="658" t="s">
        <v>11540</v>
      </c>
      <c r="B181" s="658"/>
      <c r="D181" s="686"/>
    </row>
    <row r="182" spans="1:10">
      <c r="A182" s="658"/>
      <c r="B182" s="658"/>
      <c r="D182" s="686"/>
    </row>
    <row r="183" spans="1:10">
      <c r="A183" s="658"/>
      <c r="B183" s="658"/>
      <c r="D183" s="686"/>
    </row>
    <row r="184" spans="1:10">
      <c r="D184" s="10" t="s">
        <v>285</v>
      </c>
      <c r="E184" s="11"/>
      <c r="F184" s="41" t="s">
        <v>4116</v>
      </c>
    </row>
    <row r="185" spans="1:10">
      <c r="D185" s="679">
        <v>2016</v>
      </c>
      <c r="F185" s="12" t="s">
        <v>286</v>
      </c>
    </row>
    <row r="186" spans="1:10">
      <c r="A186" s="658" t="s">
        <v>11541</v>
      </c>
      <c r="D186" s="680">
        <f t="shared" ref="D186" si="32">SUM(D187:D219)</f>
        <v>515304</v>
      </c>
    </row>
    <row r="187" spans="1:10">
      <c r="A187" s="658" t="s">
        <v>812</v>
      </c>
      <c r="B187" s="658" t="s">
        <v>11542</v>
      </c>
      <c r="C187" s="1" t="s">
        <v>11543</v>
      </c>
      <c r="D187" s="13">
        <v>15390</v>
      </c>
      <c r="F187" s="658" t="s">
        <v>11390</v>
      </c>
      <c r="H187" s="1"/>
      <c r="J187" s="1"/>
    </row>
    <row r="188" spans="1:10">
      <c r="A188" s="658" t="s">
        <v>813</v>
      </c>
      <c r="B188" s="658" t="s">
        <v>11544</v>
      </c>
      <c r="C188" s="1" t="s">
        <v>11545</v>
      </c>
      <c r="D188" s="13">
        <v>17048</v>
      </c>
      <c r="F188" s="658" t="s">
        <v>11389</v>
      </c>
      <c r="H188" s="1"/>
      <c r="J188" s="1"/>
    </row>
    <row r="189" spans="1:10">
      <c r="A189" s="658" t="s">
        <v>814</v>
      </c>
      <c r="B189" s="658" t="s">
        <v>11546</v>
      </c>
      <c r="C189" s="1" t="s">
        <v>11547</v>
      </c>
      <c r="D189" s="13">
        <v>16851</v>
      </c>
      <c r="F189" s="678" t="s">
        <v>11375</v>
      </c>
      <c r="H189" s="1"/>
      <c r="J189" s="1"/>
    </row>
    <row r="190" spans="1:10">
      <c r="A190" s="658" t="s">
        <v>815</v>
      </c>
      <c r="B190" s="678" t="s">
        <v>11548</v>
      </c>
      <c r="C190" s="1" t="s">
        <v>11549</v>
      </c>
      <c r="D190" s="13">
        <v>15459</v>
      </c>
      <c r="F190" s="658" t="s">
        <v>11391</v>
      </c>
      <c r="H190" s="1"/>
      <c r="J190" s="1"/>
    </row>
    <row r="191" spans="1:10">
      <c r="A191" s="658" t="s">
        <v>816</v>
      </c>
      <c r="B191" s="658" t="s">
        <v>11550</v>
      </c>
      <c r="C191" s="1" t="s">
        <v>11551</v>
      </c>
      <c r="D191" s="13">
        <v>13498</v>
      </c>
      <c r="F191" s="658" t="s">
        <v>11387</v>
      </c>
      <c r="H191" s="1"/>
      <c r="J191" s="1"/>
    </row>
    <row r="192" spans="1:10">
      <c r="A192" s="658">
        <v>6</v>
      </c>
      <c r="B192" s="658" t="s">
        <v>11552</v>
      </c>
      <c r="C192" s="1" t="s">
        <v>11553</v>
      </c>
      <c r="D192" s="13">
        <v>15342</v>
      </c>
      <c r="F192" s="658" t="s">
        <v>11391</v>
      </c>
      <c r="H192" s="1"/>
      <c r="J192" s="1"/>
    </row>
    <row r="193" spans="1:10">
      <c r="A193" s="658" t="s">
        <v>827</v>
      </c>
      <c r="B193" s="658" t="s">
        <v>11554</v>
      </c>
      <c r="C193" s="1" t="s">
        <v>11555</v>
      </c>
      <c r="D193" s="13">
        <v>13605</v>
      </c>
      <c r="F193" s="658" t="s">
        <v>11388</v>
      </c>
      <c r="H193" s="1"/>
      <c r="J193" s="1"/>
    </row>
    <row r="194" spans="1:10">
      <c r="A194" s="658" t="s">
        <v>828</v>
      </c>
      <c r="B194" s="658" t="s">
        <v>11556</v>
      </c>
      <c r="C194" s="1" t="s">
        <v>11557</v>
      </c>
      <c r="D194" s="13">
        <v>17271</v>
      </c>
      <c r="F194" s="658" t="s">
        <v>11391</v>
      </c>
      <c r="H194" s="1"/>
      <c r="J194" s="1"/>
    </row>
    <row r="195" spans="1:10">
      <c r="A195" s="658" t="s">
        <v>829</v>
      </c>
      <c r="B195" s="658" t="s">
        <v>11558</v>
      </c>
      <c r="C195" s="1" t="s">
        <v>11559</v>
      </c>
      <c r="D195" s="13">
        <v>15798</v>
      </c>
      <c r="F195" s="658" t="s">
        <v>11389</v>
      </c>
      <c r="H195" s="1"/>
      <c r="J195" s="1"/>
    </row>
    <row r="196" spans="1:10">
      <c r="A196" s="658" t="s">
        <v>830</v>
      </c>
      <c r="B196" s="658" t="s">
        <v>11560</v>
      </c>
      <c r="C196" s="1" t="s">
        <v>11561</v>
      </c>
      <c r="D196" s="13">
        <v>16795</v>
      </c>
      <c r="F196" s="658" t="s">
        <v>11387</v>
      </c>
      <c r="H196" s="1"/>
      <c r="J196" s="1"/>
    </row>
    <row r="197" spans="1:10">
      <c r="A197" s="658" t="s">
        <v>831</v>
      </c>
      <c r="B197" s="658" t="s">
        <v>11562</v>
      </c>
      <c r="C197" s="1" t="s">
        <v>11563</v>
      </c>
      <c r="D197" s="13">
        <v>17225</v>
      </c>
      <c r="F197" s="658" t="s">
        <v>11388</v>
      </c>
      <c r="H197" s="1"/>
      <c r="J197" s="1"/>
    </row>
    <row r="198" spans="1:10">
      <c r="A198" s="658" t="s">
        <v>832</v>
      </c>
      <c r="B198" s="658" t="s">
        <v>11564</v>
      </c>
      <c r="C198" s="1" t="s">
        <v>11565</v>
      </c>
      <c r="D198" s="13">
        <v>16850</v>
      </c>
      <c r="F198" s="658" t="s">
        <v>11387</v>
      </c>
      <c r="H198" s="1"/>
      <c r="J198" s="1"/>
    </row>
    <row r="199" spans="1:10">
      <c r="A199" s="658" t="s">
        <v>833</v>
      </c>
      <c r="B199" s="658" t="s">
        <v>11566</v>
      </c>
      <c r="C199" s="1" t="s">
        <v>11567</v>
      </c>
      <c r="D199" s="13">
        <v>15936</v>
      </c>
      <c r="F199" s="658" t="s">
        <v>11383</v>
      </c>
      <c r="H199" s="1"/>
      <c r="J199" s="1"/>
    </row>
    <row r="200" spans="1:10">
      <c r="A200" s="658" t="s">
        <v>834</v>
      </c>
      <c r="B200" s="658" t="s">
        <v>11568</v>
      </c>
      <c r="C200" s="1" t="s">
        <v>11569</v>
      </c>
      <c r="D200" s="13">
        <v>14029</v>
      </c>
      <c r="F200" s="658" t="s">
        <v>11388</v>
      </c>
      <c r="H200" s="1"/>
      <c r="J200" s="1"/>
    </row>
    <row r="201" spans="1:10">
      <c r="A201" s="658" t="s">
        <v>835</v>
      </c>
      <c r="B201" s="658" t="s">
        <v>11570</v>
      </c>
      <c r="C201" s="1" t="s">
        <v>11571</v>
      </c>
      <c r="D201" s="13">
        <v>17779</v>
      </c>
      <c r="F201" s="658" t="s">
        <v>11392</v>
      </c>
      <c r="H201" s="1"/>
      <c r="J201" s="1"/>
    </row>
    <row r="202" spans="1:10">
      <c r="A202" s="658" t="s">
        <v>836</v>
      </c>
      <c r="B202" s="658" t="s">
        <v>11572</v>
      </c>
      <c r="C202" s="1" t="s">
        <v>11573</v>
      </c>
      <c r="D202" s="13">
        <v>14805</v>
      </c>
      <c r="F202" s="658" t="s">
        <v>11383</v>
      </c>
      <c r="H202" s="1"/>
      <c r="J202" s="1"/>
    </row>
    <row r="203" spans="1:10">
      <c r="A203" s="658" t="s">
        <v>837</v>
      </c>
      <c r="B203" s="658" t="s">
        <v>11574</v>
      </c>
      <c r="C203" s="1" t="s">
        <v>11575</v>
      </c>
      <c r="D203" s="13">
        <v>8948</v>
      </c>
      <c r="F203" s="658" t="s">
        <v>11389</v>
      </c>
      <c r="H203" s="1"/>
      <c r="J203" s="1"/>
    </row>
    <row r="204" spans="1:10">
      <c r="A204" s="658" t="s">
        <v>838</v>
      </c>
      <c r="B204" s="658" t="s">
        <v>11576</v>
      </c>
      <c r="C204" s="1" t="s">
        <v>11577</v>
      </c>
      <c r="D204" s="13">
        <v>16685</v>
      </c>
      <c r="F204" s="658" t="s">
        <v>11390</v>
      </c>
      <c r="H204" s="1"/>
      <c r="J204" s="1"/>
    </row>
    <row r="205" spans="1:10">
      <c r="A205" s="658" t="s">
        <v>840</v>
      </c>
      <c r="B205" s="658" t="s">
        <v>11578</v>
      </c>
      <c r="C205" s="1" t="s">
        <v>11579</v>
      </c>
      <c r="D205" s="13">
        <v>12369</v>
      </c>
      <c r="F205" s="658" t="s">
        <v>11387</v>
      </c>
      <c r="H205" s="1"/>
      <c r="J205" s="1"/>
    </row>
    <row r="206" spans="1:10">
      <c r="A206" s="658" t="s">
        <v>841</v>
      </c>
      <c r="B206" s="658" t="s">
        <v>11580</v>
      </c>
      <c r="C206" s="1" t="s">
        <v>11581</v>
      </c>
      <c r="D206" s="13">
        <v>15666</v>
      </c>
      <c r="F206" s="658" t="s">
        <v>11388</v>
      </c>
      <c r="H206" s="1"/>
      <c r="J206" s="1"/>
    </row>
    <row r="207" spans="1:10">
      <c r="A207" s="658" t="s">
        <v>878</v>
      </c>
      <c r="B207" s="658" t="s">
        <v>11582</v>
      </c>
      <c r="C207" s="1" t="s">
        <v>11583</v>
      </c>
      <c r="D207" s="13">
        <v>15910</v>
      </c>
      <c r="F207" s="658" t="s">
        <v>11383</v>
      </c>
      <c r="H207" s="1"/>
      <c r="J207" s="1"/>
    </row>
    <row r="208" spans="1:10">
      <c r="A208" s="658" t="s">
        <v>879</v>
      </c>
      <c r="B208" s="658" t="s">
        <v>11584</v>
      </c>
      <c r="C208" s="1" t="s">
        <v>11585</v>
      </c>
      <c r="D208" s="13">
        <v>13857</v>
      </c>
      <c r="F208" s="658" t="s">
        <v>11390</v>
      </c>
      <c r="H208" s="1"/>
      <c r="J208" s="1"/>
    </row>
    <row r="209" spans="1:10">
      <c r="A209" s="658" t="s">
        <v>880</v>
      </c>
      <c r="B209" s="658" t="s">
        <v>11586</v>
      </c>
      <c r="C209" s="1" t="s">
        <v>11587</v>
      </c>
      <c r="D209" s="13">
        <v>17500</v>
      </c>
      <c r="F209" s="658" t="s">
        <v>11387</v>
      </c>
      <c r="H209" s="1"/>
      <c r="J209" s="1"/>
    </row>
    <row r="210" spans="1:10">
      <c r="A210" s="658" t="s">
        <v>721</v>
      </c>
      <c r="B210" s="658" t="s">
        <v>11588</v>
      </c>
      <c r="C210" s="1" t="s">
        <v>11589</v>
      </c>
      <c r="D210" s="13">
        <v>16642</v>
      </c>
      <c r="F210" s="658" t="s">
        <v>11389</v>
      </c>
      <c r="H210" s="1"/>
      <c r="J210" s="1"/>
    </row>
    <row r="211" spans="1:10">
      <c r="A211" s="658" t="s">
        <v>722</v>
      </c>
      <c r="B211" s="658" t="s">
        <v>11590</v>
      </c>
      <c r="C211" s="1" t="s">
        <v>11591</v>
      </c>
      <c r="D211" s="13">
        <v>17137</v>
      </c>
      <c r="F211" s="678" t="s">
        <v>11375</v>
      </c>
      <c r="H211" s="1"/>
      <c r="J211" s="1"/>
    </row>
    <row r="212" spans="1:10">
      <c r="A212" s="658" t="s">
        <v>723</v>
      </c>
      <c r="B212" s="658" t="s">
        <v>11592</v>
      </c>
      <c r="C212" s="1" t="s">
        <v>11593</v>
      </c>
      <c r="D212" s="13">
        <v>15937</v>
      </c>
      <c r="F212" s="678" t="s">
        <v>11375</v>
      </c>
      <c r="H212" s="1"/>
      <c r="J212" s="1"/>
    </row>
    <row r="213" spans="1:10">
      <c r="A213" s="658" t="s">
        <v>733</v>
      </c>
      <c r="B213" s="658" t="s">
        <v>11594</v>
      </c>
      <c r="C213" s="1" t="s">
        <v>11595</v>
      </c>
      <c r="D213" s="13">
        <v>17018</v>
      </c>
      <c r="F213" s="658" t="s">
        <v>11390</v>
      </c>
      <c r="H213" s="1"/>
      <c r="J213" s="1"/>
    </row>
    <row r="214" spans="1:10">
      <c r="A214" s="658" t="s">
        <v>734</v>
      </c>
      <c r="B214" s="658" t="s">
        <v>11596</v>
      </c>
      <c r="C214" s="1" t="s">
        <v>11597</v>
      </c>
      <c r="D214" s="13">
        <v>16889</v>
      </c>
      <c r="F214" s="658" t="s">
        <v>11391</v>
      </c>
      <c r="H214" s="1"/>
      <c r="J214" s="1"/>
    </row>
    <row r="215" spans="1:10">
      <c r="A215" s="658" t="s">
        <v>735</v>
      </c>
      <c r="B215" s="658" t="s">
        <v>5425</v>
      </c>
      <c r="C215" s="1" t="s">
        <v>11598</v>
      </c>
      <c r="D215" s="13">
        <v>15264</v>
      </c>
      <c r="F215" s="658" t="s">
        <v>11383</v>
      </c>
      <c r="H215" s="1"/>
      <c r="J215" s="1"/>
    </row>
    <row r="216" spans="1:10">
      <c r="A216" s="658" t="s">
        <v>736</v>
      </c>
      <c r="B216" s="658" t="s">
        <v>11599</v>
      </c>
      <c r="C216" s="1" t="s">
        <v>11600</v>
      </c>
      <c r="D216" s="13">
        <v>16447</v>
      </c>
      <c r="F216" s="658" t="s">
        <v>11389</v>
      </c>
      <c r="H216" s="1"/>
      <c r="J216" s="1"/>
    </row>
    <row r="217" spans="1:10">
      <c r="A217" s="658" t="s">
        <v>931</v>
      </c>
      <c r="B217" s="658" t="s">
        <v>11601</v>
      </c>
      <c r="C217" s="1" t="s">
        <v>11602</v>
      </c>
      <c r="D217" s="13">
        <v>15688</v>
      </c>
      <c r="F217" s="658" t="s">
        <v>11388</v>
      </c>
      <c r="H217" s="1"/>
      <c r="J217" s="1"/>
    </row>
    <row r="218" spans="1:10">
      <c r="A218" s="658" t="s">
        <v>932</v>
      </c>
      <c r="B218" s="658" t="s">
        <v>11603</v>
      </c>
      <c r="C218" s="1" t="s">
        <v>11604</v>
      </c>
      <c r="D218" s="13">
        <v>14294</v>
      </c>
      <c r="F218" s="658" t="s">
        <v>11390</v>
      </c>
      <c r="H218" s="1"/>
      <c r="J218" s="1"/>
    </row>
    <row r="219" spans="1:10">
      <c r="A219" s="658" t="s">
        <v>933</v>
      </c>
      <c r="B219" s="658" t="s">
        <v>11605</v>
      </c>
      <c r="C219" s="1" t="s">
        <v>11606</v>
      </c>
      <c r="D219" s="13">
        <v>15372</v>
      </c>
      <c r="F219" s="658" t="s">
        <v>11383</v>
      </c>
      <c r="H219" s="1"/>
      <c r="J219" s="1"/>
    </row>
    <row r="220" spans="1:10">
      <c r="D220" s="13"/>
    </row>
    <row r="221" spans="1:10">
      <c r="A221" s="678" t="s">
        <v>11375</v>
      </c>
      <c r="D221" s="680">
        <f>D189+D211+D212</f>
        <v>49925</v>
      </c>
    </row>
    <row r="222" spans="1:10">
      <c r="A222" s="658" t="s">
        <v>11383</v>
      </c>
      <c r="D222" s="680">
        <f t="shared" ref="D222" si="33">D199+D202+D207+D215+D219</f>
        <v>77287</v>
      </c>
    </row>
    <row r="223" spans="1:10">
      <c r="A223" s="658" t="s">
        <v>11387</v>
      </c>
      <c r="D223" s="680">
        <f>D191+D196+D198+D205+D209</f>
        <v>77012</v>
      </c>
    </row>
    <row r="224" spans="1:10">
      <c r="A224" s="658" t="s">
        <v>11388</v>
      </c>
      <c r="D224" s="680">
        <f>D193+D197+D200+D206+D217</f>
        <v>76213</v>
      </c>
    </row>
    <row r="225" spans="1:10">
      <c r="A225" s="658" t="s">
        <v>11389</v>
      </c>
      <c r="D225" s="680">
        <f>D188+D195+D203+D210+D216</f>
        <v>74883</v>
      </c>
    </row>
    <row r="226" spans="1:10">
      <c r="A226" s="658" t="s">
        <v>11390</v>
      </c>
      <c r="D226" s="680">
        <f>D187+D204+D208+D213+D218</f>
        <v>77244</v>
      </c>
    </row>
    <row r="227" spans="1:10">
      <c r="A227" s="658" t="s">
        <v>11453</v>
      </c>
      <c r="D227" s="680">
        <f>D190+D192+D194+D214</f>
        <v>64961</v>
      </c>
    </row>
    <row r="228" spans="1:10">
      <c r="A228" s="658" t="s">
        <v>11454</v>
      </c>
      <c r="D228" s="680">
        <f>D201</f>
        <v>17779</v>
      </c>
    </row>
    <row r="229" spans="1:10">
      <c r="A229" s="658"/>
      <c r="D229" s="680"/>
    </row>
    <row r="230" spans="1:10">
      <c r="A230" s="658" t="s">
        <v>11607</v>
      </c>
      <c r="D230" s="680"/>
    </row>
    <row r="231" spans="1:10">
      <c r="A231" s="658"/>
      <c r="B231" s="658"/>
      <c r="D231" s="686"/>
    </row>
    <row r="232" spans="1:10">
      <c r="A232" s="658"/>
      <c r="B232" s="658"/>
      <c r="D232" s="686"/>
    </row>
    <row r="233" spans="1:10">
      <c r="D233" s="10" t="s">
        <v>285</v>
      </c>
      <c r="E233" s="11"/>
      <c r="F233" s="41" t="s">
        <v>4116</v>
      </c>
    </row>
    <row r="234" spans="1:10">
      <c r="D234" s="679">
        <v>2016</v>
      </c>
      <c r="F234" s="12" t="s">
        <v>286</v>
      </c>
    </row>
    <row r="235" spans="1:10">
      <c r="A235" s="658" t="s">
        <v>11608</v>
      </c>
      <c r="D235" s="680">
        <f t="shared" ref="D235" si="34">SUM(D236:D256)</f>
        <v>237299</v>
      </c>
    </row>
    <row r="236" spans="1:10">
      <c r="A236" s="658" t="s">
        <v>812</v>
      </c>
      <c r="B236" s="658" t="s">
        <v>11609</v>
      </c>
      <c r="C236" s="1" t="s">
        <v>11610</v>
      </c>
      <c r="D236" s="13">
        <v>12178</v>
      </c>
      <c r="F236" s="658" t="s">
        <v>10788</v>
      </c>
      <c r="H236" s="1"/>
      <c r="J236" s="1"/>
    </row>
    <row r="237" spans="1:10">
      <c r="A237" s="658" t="s">
        <v>813</v>
      </c>
      <c r="B237" s="658" t="s">
        <v>11611</v>
      </c>
      <c r="C237" s="1" t="s">
        <v>11612</v>
      </c>
      <c r="D237" s="13">
        <v>10844</v>
      </c>
      <c r="F237" s="658" t="s">
        <v>10785</v>
      </c>
      <c r="H237" s="1"/>
      <c r="J237" s="1"/>
    </row>
    <row r="238" spans="1:10">
      <c r="A238" s="658" t="s">
        <v>814</v>
      </c>
      <c r="B238" s="658" t="s">
        <v>11613</v>
      </c>
      <c r="C238" s="1" t="s">
        <v>11614</v>
      </c>
      <c r="D238" s="13">
        <v>12245</v>
      </c>
      <c r="F238" s="658" t="s">
        <v>10785</v>
      </c>
      <c r="H238" s="1"/>
      <c r="J238" s="1"/>
    </row>
    <row r="239" spans="1:10">
      <c r="A239" s="658" t="s">
        <v>815</v>
      </c>
      <c r="B239" s="658" t="s">
        <v>11615</v>
      </c>
      <c r="C239" s="1" t="s">
        <v>11616</v>
      </c>
      <c r="D239" s="13">
        <v>11207</v>
      </c>
      <c r="F239" s="658" t="s">
        <v>10785</v>
      </c>
      <c r="H239" s="1"/>
      <c r="J239" s="1"/>
    </row>
    <row r="240" spans="1:10">
      <c r="A240" s="658" t="s">
        <v>816</v>
      </c>
      <c r="B240" s="658" t="s">
        <v>11617</v>
      </c>
      <c r="C240" s="1" t="s">
        <v>11618</v>
      </c>
      <c r="D240" s="13">
        <v>11637</v>
      </c>
      <c r="F240" s="665" t="s">
        <v>11163</v>
      </c>
      <c r="H240" s="1"/>
      <c r="J240" s="1"/>
    </row>
    <row r="241" spans="1:10">
      <c r="A241" s="658">
        <v>6</v>
      </c>
      <c r="B241" s="658" t="s">
        <v>11619</v>
      </c>
      <c r="C241" s="1" t="s">
        <v>11620</v>
      </c>
      <c r="D241" s="13">
        <v>12120</v>
      </c>
      <c r="F241" s="658" t="s">
        <v>10788</v>
      </c>
      <c r="H241" s="1"/>
      <c r="J241" s="1"/>
    </row>
    <row r="242" spans="1:10">
      <c r="A242" s="658" t="s">
        <v>827</v>
      </c>
      <c r="B242" s="658" t="s">
        <v>11621</v>
      </c>
      <c r="C242" s="1" t="s">
        <v>11622</v>
      </c>
      <c r="D242" s="13">
        <v>11263</v>
      </c>
      <c r="F242" s="665" t="s">
        <v>11163</v>
      </c>
      <c r="H242" s="1"/>
      <c r="J242" s="1"/>
    </row>
    <row r="243" spans="1:10">
      <c r="A243" s="658" t="s">
        <v>828</v>
      </c>
      <c r="B243" s="658" t="s">
        <v>11623</v>
      </c>
      <c r="C243" s="1" t="s">
        <v>11624</v>
      </c>
      <c r="D243" s="13">
        <v>11424</v>
      </c>
      <c r="F243" s="658" t="s">
        <v>11394</v>
      </c>
      <c r="H243" s="1"/>
      <c r="J243" s="1"/>
    </row>
    <row r="244" spans="1:10">
      <c r="A244" s="658" t="s">
        <v>829</v>
      </c>
      <c r="B244" s="658" t="s">
        <v>11625</v>
      </c>
      <c r="C244" s="1" t="s">
        <v>11626</v>
      </c>
      <c r="D244" s="13">
        <v>9672</v>
      </c>
      <c r="F244" s="658" t="s">
        <v>10788</v>
      </c>
      <c r="H244" s="1"/>
      <c r="J244" s="1"/>
    </row>
    <row r="245" spans="1:10">
      <c r="A245" s="658" t="s">
        <v>830</v>
      </c>
      <c r="B245" s="658" t="s">
        <v>4141</v>
      </c>
      <c r="C245" s="1" t="s">
        <v>11627</v>
      </c>
      <c r="D245" s="13">
        <v>11454</v>
      </c>
      <c r="F245" s="658" t="s">
        <v>10785</v>
      </c>
      <c r="H245" s="1"/>
      <c r="J245" s="1"/>
    </row>
    <row r="246" spans="1:10">
      <c r="A246" s="658" t="s">
        <v>831</v>
      </c>
      <c r="B246" s="658" t="s">
        <v>11628</v>
      </c>
      <c r="C246" s="1" t="s">
        <v>11629</v>
      </c>
      <c r="D246" s="13">
        <v>12147</v>
      </c>
      <c r="F246" s="658" t="s">
        <v>11394</v>
      </c>
      <c r="H246" s="1"/>
      <c r="J246" s="1"/>
    </row>
    <row r="247" spans="1:10">
      <c r="A247" s="658" t="s">
        <v>832</v>
      </c>
      <c r="B247" s="658" t="s">
        <v>11630</v>
      </c>
      <c r="C247" s="1" t="s">
        <v>11631</v>
      </c>
      <c r="D247" s="13">
        <v>11272</v>
      </c>
      <c r="F247" s="658" t="s">
        <v>10788</v>
      </c>
      <c r="H247" s="1"/>
      <c r="J247" s="1"/>
    </row>
    <row r="248" spans="1:10">
      <c r="A248" s="658" t="s">
        <v>833</v>
      </c>
      <c r="B248" s="658" t="s">
        <v>11632</v>
      </c>
      <c r="C248" s="1" t="s">
        <v>11633</v>
      </c>
      <c r="D248" s="13">
        <v>11403</v>
      </c>
      <c r="F248" s="658" t="s">
        <v>10788</v>
      </c>
      <c r="H248" s="1"/>
      <c r="J248" s="1"/>
    </row>
    <row r="249" spans="1:10">
      <c r="A249" s="658" t="s">
        <v>834</v>
      </c>
      <c r="B249" s="658" t="s">
        <v>11634</v>
      </c>
      <c r="C249" s="1" t="s">
        <v>11635</v>
      </c>
      <c r="D249" s="13">
        <v>12361</v>
      </c>
      <c r="F249" s="658" t="s">
        <v>10788</v>
      </c>
      <c r="H249" s="1"/>
      <c r="J249" s="1"/>
    </row>
    <row r="250" spans="1:10">
      <c r="A250" s="658" t="s">
        <v>835</v>
      </c>
      <c r="B250" s="658" t="s">
        <v>11636</v>
      </c>
      <c r="C250" s="1" t="s">
        <v>11637</v>
      </c>
      <c r="D250" s="13">
        <v>11957</v>
      </c>
      <c r="F250" s="658" t="s">
        <v>10785</v>
      </c>
      <c r="H250" s="1"/>
      <c r="J250" s="1"/>
    </row>
    <row r="251" spans="1:10">
      <c r="A251" s="658" t="s">
        <v>836</v>
      </c>
      <c r="B251" s="658" t="s">
        <v>11638</v>
      </c>
      <c r="C251" s="1" t="s">
        <v>11639</v>
      </c>
      <c r="D251" s="13">
        <v>9798</v>
      </c>
      <c r="F251" s="658" t="s">
        <v>11394</v>
      </c>
      <c r="H251" s="1"/>
      <c r="J251" s="1"/>
    </row>
    <row r="252" spans="1:10">
      <c r="A252" s="658" t="s">
        <v>837</v>
      </c>
      <c r="B252" s="658" t="s">
        <v>11640</v>
      </c>
      <c r="C252" s="1" t="s">
        <v>11641</v>
      </c>
      <c r="D252" s="13">
        <v>9951</v>
      </c>
      <c r="F252" s="658" t="s">
        <v>11394</v>
      </c>
      <c r="H252" s="1"/>
      <c r="J252" s="1"/>
    </row>
    <row r="253" spans="1:10">
      <c r="A253" s="658" t="s">
        <v>838</v>
      </c>
      <c r="B253" s="658" t="s">
        <v>11642</v>
      </c>
      <c r="C253" s="1" t="s">
        <v>11643</v>
      </c>
      <c r="D253" s="13">
        <v>13088</v>
      </c>
      <c r="F253" s="658" t="s">
        <v>11394</v>
      </c>
      <c r="H253" s="1"/>
      <c r="J253" s="1"/>
    </row>
    <row r="254" spans="1:10">
      <c r="A254" s="658" t="s">
        <v>840</v>
      </c>
      <c r="B254" s="658" t="s">
        <v>11644</v>
      </c>
      <c r="C254" s="1" t="s">
        <v>11645</v>
      </c>
      <c r="D254" s="13">
        <v>9760</v>
      </c>
      <c r="F254" s="658" t="s">
        <v>11394</v>
      </c>
      <c r="H254" s="1"/>
      <c r="J254" s="1"/>
    </row>
    <row r="255" spans="1:10">
      <c r="A255" s="658" t="s">
        <v>841</v>
      </c>
      <c r="B255" s="658" t="s">
        <v>11646</v>
      </c>
      <c r="C255" s="1" t="s">
        <v>11647</v>
      </c>
      <c r="D255" s="13">
        <v>10144</v>
      </c>
      <c r="F255" s="658" t="s">
        <v>11394</v>
      </c>
      <c r="H255" s="1"/>
      <c r="J255" s="1"/>
    </row>
    <row r="256" spans="1:10">
      <c r="A256" s="658" t="s">
        <v>878</v>
      </c>
      <c r="B256" s="658" t="s">
        <v>11648</v>
      </c>
      <c r="C256" s="1" t="s">
        <v>11649</v>
      </c>
      <c r="D256" s="13">
        <v>11374</v>
      </c>
      <c r="F256" s="658" t="s">
        <v>10785</v>
      </c>
      <c r="H256" s="1"/>
      <c r="J256" s="1"/>
    </row>
    <row r="257" spans="1:4">
      <c r="D257" s="681"/>
    </row>
    <row r="258" spans="1:4">
      <c r="A258" s="665" t="s">
        <v>11221</v>
      </c>
      <c r="D258" s="681">
        <f>D240+D242</f>
        <v>22900</v>
      </c>
    </row>
    <row r="259" spans="1:4">
      <c r="A259" s="658" t="s">
        <v>11154</v>
      </c>
      <c r="D259" s="680">
        <f>SUM(D237:D239)+D245+D250+D256</f>
        <v>69081</v>
      </c>
    </row>
    <row r="260" spans="1:4">
      <c r="A260" s="658" t="s">
        <v>11155</v>
      </c>
      <c r="D260" s="680">
        <f>D236+D241+D244+SUM(D247:D249)</f>
        <v>69006</v>
      </c>
    </row>
    <row r="261" spans="1:4">
      <c r="A261" s="658" t="s">
        <v>11394</v>
      </c>
      <c r="D261" s="680">
        <f>D243+D246+SUM(D251:D255)</f>
        <v>76312</v>
      </c>
    </row>
    <row r="263" spans="1:4">
      <c r="A263" s="678" t="s">
        <v>11650</v>
      </c>
    </row>
  </sheetData>
  <printOptions gridLinesSet="0"/>
  <pageMargins left="0.78740157480314965" right="0" top="0.51181102362204722" bottom="0.51181102362204722" header="0.51181102362204722" footer="0.51181102362204722"/>
  <pageSetup paperSize="9" scale="54" orientation="portrait" horizontalDpi="300" verticalDpi="300" r:id="rId1"/>
  <headerFooter alignWithMargins="0">
    <oddFooter>&amp;C&amp;8&amp;P of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80"/>
  <sheetViews>
    <sheetView showGridLines="0" zoomScaleNormal="100" workbookViewId="0"/>
  </sheetViews>
  <sheetFormatPr defaultColWidth="12.59765625" defaultRowHeight="14.5"/>
  <cols>
    <col min="1" max="1" width="4.8984375" style="438" customWidth="1"/>
    <col min="2" max="2" width="39.69921875" style="438" customWidth="1"/>
    <col min="3" max="3" width="11.59765625" style="438" customWidth="1"/>
    <col min="4" max="4" width="10" style="438" customWidth="1"/>
    <col min="5" max="5" width="2.296875" style="438" customWidth="1"/>
    <col min="6" max="6" width="35.8984375" style="438" customWidth="1"/>
    <col min="7" max="16384" width="12.59765625" style="438"/>
  </cols>
  <sheetData>
    <row r="1" spans="1:10">
      <c r="A1" s="435" t="s">
        <v>9176</v>
      </c>
      <c r="D1" s="456">
        <v>2016</v>
      </c>
    </row>
    <row r="3" spans="1:10">
      <c r="A3" s="435" t="s">
        <v>10532</v>
      </c>
      <c r="D3" s="639">
        <f t="shared" ref="D3" si="0">SUM(D16:D35)</f>
        <v>111349</v>
      </c>
    </row>
    <row r="4" spans="1:10">
      <c r="A4" s="435"/>
      <c r="D4" s="640"/>
    </row>
    <row r="5" spans="1:10">
      <c r="A5" s="435" t="s">
        <v>9410</v>
      </c>
      <c r="D5" s="457">
        <f>CAMDEN!D5</f>
        <v>12482</v>
      </c>
      <c r="F5" s="438" t="s">
        <v>9221</v>
      </c>
    </row>
    <row r="6" spans="1:10">
      <c r="D6" s="457">
        <f>'CITY OF LONDON'!D6</f>
        <v>6158</v>
      </c>
      <c r="F6" s="435" t="s">
        <v>9174</v>
      </c>
    </row>
    <row r="7" spans="1:10" ht="15" thickBot="1">
      <c r="D7" s="460">
        <f>D18+D19+SUM(D22:D24)+D27+SUM(D30:D33)+D35</f>
        <v>57053</v>
      </c>
      <c r="F7" s="435" t="s">
        <v>9313</v>
      </c>
    </row>
    <row r="8" spans="1:10" ht="15" thickBot="1">
      <c r="D8" s="460">
        <f>SUM(D5:D7)</f>
        <v>75693</v>
      </c>
    </row>
    <row r="9" spans="1:10">
      <c r="D9" s="458"/>
    </row>
    <row r="10" spans="1:10">
      <c r="A10" s="429" t="s">
        <v>9312</v>
      </c>
      <c r="D10" s="458">
        <f>BRENT!D9</f>
        <v>18368</v>
      </c>
      <c r="F10" s="438" t="s">
        <v>9310</v>
      </c>
    </row>
    <row r="11" spans="1:10" ht="15" thickBot="1">
      <c r="D11" s="460">
        <f>D16+D17+D20+D21+D25+D26+D28+D29+D34</f>
        <v>54296</v>
      </c>
      <c r="F11" s="435" t="s">
        <v>9313</v>
      </c>
    </row>
    <row r="12" spans="1:10" ht="15" thickBot="1">
      <c r="D12" s="460">
        <f t="shared" ref="D12" si="1">D10+D11</f>
        <v>72664</v>
      </c>
      <c r="F12" s="435"/>
    </row>
    <row r="13" spans="1:10">
      <c r="D13" s="458"/>
    </row>
    <row r="14" spans="1:10">
      <c r="A14" s="435" t="s">
        <v>1041</v>
      </c>
      <c r="D14" s="457">
        <f t="shared" ref="D14" si="2">D7+D11</f>
        <v>111349</v>
      </c>
    </row>
    <row r="15" spans="1:10">
      <c r="D15" s="458"/>
    </row>
    <row r="16" spans="1:10">
      <c r="A16" s="435" t="s">
        <v>812</v>
      </c>
      <c r="B16" s="435" t="s">
        <v>10533</v>
      </c>
      <c r="C16" s="292" t="s">
        <v>10534</v>
      </c>
      <c r="D16" s="316">
        <v>5469</v>
      </c>
      <c r="F16" s="429" t="s">
        <v>9312</v>
      </c>
      <c r="H16" s="292"/>
      <c r="J16" s="292"/>
    </row>
    <row r="17" spans="1:10">
      <c r="A17" s="435" t="s">
        <v>813</v>
      </c>
      <c r="B17" s="435" t="s">
        <v>10535</v>
      </c>
      <c r="C17" s="292" t="s">
        <v>10536</v>
      </c>
      <c r="D17" s="316">
        <v>4920</v>
      </c>
      <c r="F17" s="429" t="s">
        <v>9312</v>
      </c>
      <c r="H17" s="292"/>
      <c r="J17" s="292"/>
    </row>
    <row r="18" spans="1:10">
      <c r="A18" s="435" t="s">
        <v>814</v>
      </c>
      <c r="B18" s="435" t="s">
        <v>10537</v>
      </c>
      <c r="C18" s="292" t="s">
        <v>10538</v>
      </c>
      <c r="D18" s="316">
        <v>5300</v>
      </c>
      <c r="F18" s="435" t="s">
        <v>9410</v>
      </c>
      <c r="H18" s="292"/>
      <c r="J18" s="292"/>
    </row>
    <row r="19" spans="1:10">
      <c r="A19" s="435" t="s">
        <v>815</v>
      </c>
      <c r="B19" s="435" t="s">
        <v>10539</v>
      </c>
      <c r="C19" s="292" t="s">
        <v>10540</v>
      </c>
      <c r="D19" s="316">
        <v>5498</v>
      </c>
      <c r="F19" s="435" t="s">
        <v>9410</v>
      </c>
      <c r="H19" s="292"/>
      <c r="J19" s="292"/>
    </row>
    <row r="20" spans="1:10">
      <c r="A20" s="435" t="s">
        <v>816</v>
      </c>
      <c r="B20" s="435" t="s">
        <v>10541</v>
      </c>
      <c r="C20" s="292" t="s">
        <v>10542</v>
      </c>
      <c r="D20" s="316">
        <v>6332</v>
      </c>
      <c r="F20" s="429" t="s">
        <v>9312</v>
      </c>
      <c r="H20" s="292"/>
      <c r="J20" s="292"/>
    </row>
    <row r="21" spans="1:10">
      <c r="A21" s="435" t="s">
        <v>826</v>
      </c>
      <c r="B21" s="435" t="s">
        <v>10543</v>
      </c>
      <c r="C21" s="292" t="s">
        <v>10544</v>
      </c>
      <c r="D21" s="316">
        <v>6440</v>
      </c>
      <c r="F21" s="429" t="s">
        <v>9312</v>
      </c>
      <c r="H21" s="292"/>
      <c r="J21" s="292"/>
    </row>
    <row r="22" spans="1:10">
      <c r="A22" s="435" t="s">
        <v>827</v>
      </c>
      <c r="B22" s="435" t="s">
        <v>10545</v>
      </c>
      <c r="C22" s="292" t="s">
        <v>10546</v>
      </c>
      <c r="D22" s="316">
        <v>5386</v>
      </c>
      <c r="F22" s="435" t="s">
        <v>9410</v>
      </c>
      <c r="H22" s="292"/>
      <c r="J22" s="292"/>
    </row>
    <row r="23" spans="1:10">
      <c r="A23" s="435" t="s">
        <v>828</v>
      </c>
      <c r="B23" s="435" t="s">
        <v>10547</v>
      </c>
      <c r="C23" s="292" t="s">
        <v>10548</v>
      </c>
      <c r="D23" s="316">
        <v>3769</v>
      </c>
      <c r="F23" s="435" t="s">
        <v>9410</v>
      </c>
      <c r="H23" s="292"/>
      <c r="J23" s="292"/>
    </row>
    <row r="24" spans="1:10">
      <c r="A24" s="435" t="s">
        <v>829</v>
      </c>
      <c r="B24" s="435" t="s">
        <v>10549</v>
      </c>
      <c r="C24" s="292" t="s">
        <v>10550</v>
      </c>
      <c r="D24" s="316">
        <v>5140</v>
      </c>
      <c r="F24" s="435" t="s">
        <v>9410</v>
      </c>
      <c r="H24" s="292"/>
      <c r="J24" s="292"/>
    </row>
    <row r="25" spans="1:10">
      <c r="A25" s="435" t="s">
        <v>830</v>
      </c>
      <c r="B25" s="435" t="s">
        <v>10551</v>
      </c>
      <c r="C25" s="292" t="s">
        <v>10552</v>
      </c>
      <c r="D25" s="316">
        <v>5545</v>
      </c>
      <c r="F25" s="429" t="s">
        <v>9312</v>
      </c>
      <c r="H25" s="292"/>
      <c r="J25" s="292"/>
    </row>
    <row r="26" spans="1:10">
      <c r="A26" s="435" t="s">
        <v>831</v>
      </c>
      <c r="B26" s="435" t="s">
        <v>10553</v>
      </c>
      <c r="C26" s="292" t="s">
        <v>10554</v>
      </c>
      <c r="D26" s="316">
        <v>5689</v>
      </c>
      <c r="F26" s="429" t="s">
        <v>9312</v>
      </c>
      <c r="H26" s="292"/>
      <c r="J26" s="292"/>
    </row>
    <row r="27" spans="1:10">
      <c r="A27" s="435" t="s">
        <v>832</v>
      </c>
      <c r="B27" s="435" t="s">
        <v>10555</v>
      </c>
      <c r="C27" s="292" t="s">
        <v>10556</v>
      </c>
      <c r="D27" s="316">
        <v>4772</v>
      </c>
      <c r="F27" s="435" t="s">
        <v>9410</v>
      </c>
      <c r="H27" s="292"/>
      <c r="J27" s="292"/>
    </row>
    <row r="28" spans="1:10">
      <c r="A28" s="435" t="s">
        <v>833</v>
      </c>
      <c r="B28" s="435" t="s">
        <v>877</v>
      </c>
      <c r="C28" s="292" t="s">
        <v>10557</v>
      </c>
      <c r="D28" s="316">
        <v>7054</v>
      </c>
      <c r="F28" s="429" t="s">
        <v>9312</v>
      </c>
      <c r="H28" s="292"/>
      <c r="J28" s="292"/>
    </row>
    <row r="29" spans="1:10">
      <c r="A29" s="435" t="s">
        <v>834</v>
      </c>
      <c r="B29" s="435" t="s">
        <v>9440</v>
      </c>
      <c r="C29" s="292" t="s">
        <v>10558</v>
      </c>
      <c r="D29" s="316">
        <v>6097</v>
      </c>
      <c r="F29" s="429" t="s">
        <v>9312</v>
      </c>
      <c r="H29" s="292"/>
      <c r="J29" s="292"/>
    </row>
    <row r="30" spans="1:10">
      <c r="A30" s="435" t="s">
        <v>835</v>
      </c>
      <c r="B30" s="435" t="s">
        <v>3585</v>
      </c>
      <c r="C30" s="292" t="s">
        <v>10559</v>
      </c>
      <c r="D30" s="316">
        <v>5952</v>
      </c>
      <c r="F30" s="435" t="s">
        <v>9410</v>
      </c>
      <c r="H30" s="292"/>
      <c r="J30" s="292"/>
    </row>
    <row r="31" spans="1:10">
      <c r="A31" s="435" t="s">
        <v>836</v>
      </c>
      <c r="B31" s="435" t="s">
        <v>10560</v>
      </c>
      <c r="C31" s="292" t="s">
        <v>10561</v>
      </c>
      <c r="D31" s="316">
        <v>4942</v>
      </c>
      <c r="F31" s="435" t="s">
        <v>9410</v>
      </c>
      <c r="H31" s="292"/>
      <c r="J31" s="292"/>
    </row>
    <row r="32" spans="1:10">
      <c r="A32" s="435" t="s">
        <v>837</v>
      </c>
      <c r="B32" s="435" t="s">
        <v>10562</v>
      </c>
      <c r="C32" s="292" t="s">
        <v>10563</v>
      </c>
      <c r="D32" s="316">
        <v>5967</v>
      </c>
      <c r="F32" s="435" t="s">
        <v>9410</v>
      </c>
      <c r="H32" s="292"/>
      <c r="J32" s="292"/>
    </row>
    <row r="33" spans="1:10">
      <c r="A33" s="435" t="s">
        <v>838</v>
      </c>
      <c r="B33" s="435" t="s">
        <v>2372</v>
      </c>
      <c r="C33" s="292" t="s">
        <v>10564</v>
      </c>
      <c r="D33" s="316">
        <v>5491</v>
      </c>
      <c r="F33" s="435" t="s">
        <v>9410</v>
      </c>
      <c r="H33" s="292"/>
      <c r="J33" s="292"/>
    </row>
    <row r="34" spans="1:10">
      <c r="A34" s="435" t="s">
        <v>840</v>
      </c>
      <c r="B34" s="435" t="s">
        <v>10565</v>
      </c>
      <c r="C34" s="292" t="s">
        <v>10566</v>
      </c>
      <c r="D34" s="316">
        <v>6750</v>
      </c>
      <c r="F34" s="429" t="s">
        <v>9312</v>
      </c>
      <c r="H34" s="292"/>
      <c r="J34" s="292"/>
    </row>
    <row r="35" spans="1:10">
      <c r="A35" s="435" t="s">
        <v>841</v>
      </c>
      <c r="B35" s="435" t="s">
        <v>10567</v>
      </c>
      <c r="C35" s="292" t="s">
        <v>10568</v>
      </c>
      <c r="D35" s="316">
        <v>4836</v>
      </c>
      <c r="F35" s="435" t="s">
        <v>9410</v>
      </c>
      <c r="H35" s="292"/>
      <c r="J35" s="292"/>
    </row>
    <row r="37" spans="1:10">
      <c r="A37" s="438" t="s">
        <v>10569</v>
      </c>
    </row>
    <row r="39" spans="1:10">
      <c r="D39" s="456"/>
      <c r="F39" s="435"/>
    </row>
    <row r="40" spans="1:10">
      <c r="D40" s="462"/>
    </row>
    <row r="41" spans="1:10">
      <c r="D41" s="456"/>
    </row>
    <row r="42" spans="1:10">
      <c r="D42" s="462"/>
    </row>
    <row r="43" spans="1:10">
      <c r="A43" s="435"/>
      <c r="B43" s="435"/>
      <c r="C43" s="435"/>
      <c r="D43" s="456"/>
      <c r="F43" s="435"/>
    </row>
    <row r="44" spans="1:10">
      <c r="A44" s="435"/>
      <c r="B44" s="435"/>
      <c r="C44" s="435"/>
      <c r="D44" s="456"/>
      <c r="F44" s="435"/>
    </row>
    <row r="45" spans="1:10">
      <c r="A45" s="435"/>
      <c r="B45" s="435"/>
      <c r="C45" s="435"/>
      <c r="D45" s="456"/>
      <c r="F45" s="435"/>
    </row>
    <row r="46" spans="1:10">
      <c r="A46" s="435"/>
      <c r="B46" s="435"/>
      <c r="C46" s="435"/>
      <c r="D46" s="456"/>
      <c r="F46" s="435"/>
    </row>
    <row r="47" spans="1:10">
      <c r="A47" s="435"/>
      <c r="B47" s="435"/>
      <c r="C47" s="435"/>
      <c r="D47" s="456"/>
      <c r="F47" s="435"/>
    </row>
    <row r="48" spans="1:10">
      <c r="A48" s="435"/>
      <c r="B48" s="435"/>
      <c r="C48" s="435"/>
      <c r="D48" s="456"/>
      <c r="F48" s="435"/>
    </row>
    <row r="49" spans="1:6">
      <c r="A49" s="435"/>
      <c r="B49" s="435"/>
      <c r="C49" s="435"/>
      <c r="D49" s="456"/>
      <c r="F49" s="435"/>
    </row>
    <row r="50" spans="1:6">
      <c r="A50" s="435"/>
      <c r="B50" s="435"/>
      <c r="C50" s="435"/>
      <c r="D50" s="456"/>
      <c r="F50" s="435"/>
    </row>
    <row r="51" spans="1:6">
      <c r="A51" s="435"/>
      <c r="B51" s="435"/>
      <c r="C51" s="435"/>
      <c r="D51" s="456"/>
      <c r="F51" s="435"/>
    </row>
    <row r="52" spans="1:6">
      <c r="A52" s="435"/>
      <c r="B52" s="435"/>
      <c r="C52" s="435"/>
      <c r="D52" s="456"/>
      <c r="F52" s="435"/>
    </row>
    <row r="53" spans="1:6">
      <c r="A53" s="435"/>
      <c r="B53" s="435"/>
      <c r="C53" s="435"/>
      <c r="D53" s="456"/>
      <c r="F53" s="435"/>
    </row>
    <row r="54" spans="1:6">
      <c r="D54" s="456"/>
      <c r="F54" s="435"/>
    </row>
    <row r="55" spans="1:6">
      <c r="D55" s="462"/>
    </row>
    <row r="56" spans="1:6">
      <c r="D56" s="456"/>
    </row>
    <row r="57" spans="1:6">
      <c r="D57" s="462"/>
    </row>
    <row r="58" spans="1:6">
      <c r="A58" s="435"/>
      <c r="B58" s="435"/>
      <c r="C58" s="435"/>
      <c r="D58" s="456"/>
      <c r="F58" s="435"/>
    </row>
    <row r="59" spans="1:6">
      <c r="D59" s="456"/>
      <c r="F59" s="435"/>
    </row>
    <row r="60" spans="1:6">
      <c r="D60" s="462"/>
    </row>
    <row r="61" spans="1:6">
      <c r="D61" s="456"/>
    </row>
    <row r="62" spans="1:6">
      <c r="D62" s="462"/>
    </row>
    <row r="63" spans="1:6">
      <c r="A63" s="435"/>
      <c r="B63" s="435"/>
      <c r="C63" s="435"/>
      <c r="D63" s="456"/>
      <c r="F63" s="435"/>
    </row>
    <row r="64" spans="1:6">
      <c r="A64" s="435"/>
      <c r="B64" s="435"/>
      <c r="C64" s="435"/>
      <c r="D64" s="456"/>
      <c r="F64" s="435"/>
    </row>
    <row r="65" spans="1:6">
      <c r="A65" s="435"/>
      <c r="B65" s="435"/>
      <c r="C65" s="435"/>
      <c r="D65" s="456"/>
      <c r="F65" s="435"/>
    </row>
    <row r="66" spans="1:6">
      <c r="A66" s="435"/>
      <c r="B66" s="435"/>
      <c r="C66" s="435"/>
      <c r="D66" s="456"/>
      <c r="F66" s="435"/>
    </row>
    <row r="67" spans="1:6">
      <c r="A67" s="435"/>
      <c r="B67" s="435"/>
      <c r="C67" s="435"/>
      <c r="D67" s="456"/>
      <c r="F67" s="435"/>
    </row>
    <row r="68" spans="1:6">
      <c r="A68" s="435"/>
      <c r="B68" s="435"/>
      <c r="C68" s="435"/>
      <c r="D68" s="456"/>
      <c r="F68" s="435"/>
    </row>
    <row r="69" spans="1:6">
      <c r="D69" s="456"/>
      <c r="F69" s="435"/>
    </row>
    <row r="70" spans="1:6">
      <c r="D70" s="462"/>
    </row>
    <row r="71" spans="1:6">
      <c r="D71" s="456"/>
    </row>
    <row r="72" spans="1:6">
      <c r="D72" s="462"/>
    </row>
    <row r="73" spans="1:6">
      <c r="A73" s="435"/>
      <c r="B73" s="435"/>
      <c r="C73" s="435"/>
      <c r="D73" s="456"/>
      <c r="F73" s="435"/>
    </row>
    <row r="76" spans="1:6">
      <c r="A76" s="435"/>
      <c r="D76" s="456"/>
    </row>
    <row r="77" spans="1:6">
      <c r="A77" s="435"/>
      <c r="D77" s="456"/>
    </row>
    <row r="78" spans="1:6">
      <c r="A78" s="435"/>
      <c r="D78" s="456"/>
    </row>
    <row r="80" spans="1:6">
      <c r="A80" s="435"/>
    </row>
  </sheetData>
  <printOptions gridLinesSet="0"/>
  <pageMargins left="0.78740157480314965" right="0" top="0.51181102362204722" bottom="0.51181102362204722" header="0.51181102362204722" footer="0.51181102362204722"/>
  <pageSetup paperSize="9" scale="68" orientation="portrait" horizontalDpi="300" verticalDpi="300" r:id="rId1"/>
  <headerFooter alignWithMargins="0">
    <oddFooter>&amp;C&amp;8&amp;P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37"/>
  <sheetViews>
    <sheetView showGridLines="0" zoomScaleNormal="100" workbookViewId="0"/>
  </sheetViews>
  <sheetFormatPr defaultColWidth="10" defaultRowHeight="14.5"/>
  <cols>
    <col min="1" max="1" width="4.8984375" style="422" customWidth="1"/>
    <col min="2" max="2" width="35.8984375" style="422" customWidth="1"/>
    <col min="3" max="3" width="11.59765625" style="422" customWidth="1"/>
    <col min="4" max="4" width="10" style="422" customWidth="1"/>
    <col min="5" max="5" width="2.296875" style="422" customWidth="1"/>
    <col min="6" max="6" width="29.296875" style="422" customWidth="1"/>
    <col min="7" max="16384" width="10" style="422"/>
  </cols>
  <sheetData>
    <row r="1" spans="1:11">
      <c r="A1" s="421" t="s">
        <v>9176</v>
      </c>
      <c r="D1" s="423">
        <v>2016</v>
      </c>
    </row>
    <row r="3" spans="1:11">
      <c r="A3" s="421" t="s">
        <v>9263</v>
      </c>
      <c r="D3" s="424">
        <f t="shared" ref="D3" si="0">SUM(D15:D35)</f>
        <v>165238</v>
      </c>
    </row>
    <row r="4" spans="1:11">
      <c r="A4" s="421"/>
      <c r="D4" s="424"/>
      <c r="F4" s="425"/>
    </row>
    <row r="5" spans="1:11">
      <c r="A5" s="421" t="s">
        <v>9264</v>
      </c>
      <c r="D5" s="424">
        <f>D15+D16+SUM(D19:D22)+D26+D30+D31+D35</f>
        <v>77518</v>
      </c>
      <c r="F5" s="421" t="s">
        <v>9265</v>
      </c>
    </row>
    <row r="6" spans="1:11">
      <c r="D6" s="426"/>
    </row>
    <row r="7" spans="1:11">
      <c r="A7" s="421" t="s">
        <v>9266</v>
      </c>
      <c r="D7" s="424">
        <f>D17+D18+SUM(D23:D25)+D27+D29+D32+D34</f>
        <v>72041</v>
      </c>
      <c r="F7" s="421" t="s">
        <v>9265</v>
      </c>
    </row>
    <row r="8" spans="1:11" s="2" customFormat="1">
      <c r="D8" s="3"/>
    </row>
    <row r="9" spans="1:11">
      <c r="A9" s="421" t="s">
        <v>9267</v>
      </c>
      <c r="D9" s="424">
        <f>D28+D33</f>
        <v>15679</v>
      </c>
      <c r="F9" s="421" t="s">
        <v>9265</v>
      </c>
    </row>
    <row r="10" spans="1:11" ht="15" thickBot="1">
      <c r="A10" s="421"/>
      <c r="D10" s="427">
        <f>GREENWICH!D12</f>
        <v>58743</v>
      </c>
      <c r="F10" s="421" t="s">
        <v>9268</v>
      </c>
    </row>
    <row r="11" spans="1:11" ht="15" thickBot="1">
      <c r="A11" s="421"/>
      <c r="D11" s="428">
        <f>D9+D10</f>
        <v>74422</v>
      </c>
      <c r="F11" s="421"/>
    </row>
    <row r="12" spans="1:11" s="2" customFormat="1">
      <c r="D12" s="3"/>
    </row>
    <row r="13" spans="1:11">
      <c r="A13" s="421" t="s">
        <v>1041</v>
      </c>
      <c r="D13" s="424">
        <f>D5+D7+D9</f>
        <v>165238</v>
      </c>
    </row>
    <row r="14" spans="1:11">
      <c r="D14" s="426"/>
    </row>
    <row r="15" spans="1:11">
      <c r="A15" s="421" t="s">
        <v>812</v>
      </c>
      <c r="B15" s="421" t="s">
        <v>9269</v>
      </c>
      <c r="C15" s="292" t="s">
        <v>9270</v>
      </c>
      <c r="D15" s="316">
        <v>8017</v>
      </c>
      <c r="F15" s="421" t="s">
        <v>9264</v>
      </c>
      <c r="I15" s="292"/>
      <c r="K15" s="292"/>
    </row>
    <row r="16" spans="1:11">
      <c r="A16" s="421" t="s">
        <v>813</v>
      </c>
      <c r="B16" s="421" t="s">
        <v>9271</v>
      </c>
      <c r="C16" s="292" t="s">
        <v>9272</v>
      </c>
      <c r="D16" s="316">
        <v>7977</v>
      </c>
      <c r="F16" s="421" t="s">
        <v>9264</v>
      </c>
      <c r="I16" s="292"/>
      <c r="K16" s="292"/>
    </row>
    <row r="17" spans="1:11">
      <c r="A17" s="421" t="s">
        <v>814</v>
      </c>
      <c r="B17" s="421" t="s">
        <v>9273</v>
      </c>
      <c r="C17" s="292" t="s">
        <v>9274</v>
      </c>
      <c r="D17" s="316">
        <v>7845</v>
      </c>
      <c r="F17" s="421" t="s">
        <v>9266</v>
      </c>
      <c r="I17" s="292"/>
      <c r="K17" s="292"/>
    </row>
    <row r="18" spans="1:11">
      <c r="A18" s="421" t="s">
        <v>815</v>
      </c>
      <c r="B18" s="421" t="s">
        <v>9275</v>
      </c>
      <c r="C18" s="292" t="s">
        <v>9276</v>
      </c>
      <c r="D18" s="316">
        <v>8100</v>
      </c>
      <c r="F18" s="421" t="s">
        <v>9266</v>
      </c>
      <c r="I18" s="292"/>
      <c r="K18" s="292"/>
    </row>
    <row r="19" spans="1:11">
      <c r="A19" s="421" t="s">
        <v>816</v>
      </c>
      <c r="B19" s="421" t="s">
        <v>7183</v>
      </c>
      <c r="C19" s="292" t="s">
        <v>9277</v>
      </c>
      <c r="D19" s="316">
        <v>8171</v>
      </c>
      <c r="F19" s="421" t="s">
        <v>9264</v>
      </c>
      <c r="I19" s="292"/>
      <c r="K19" s="292"/>
    </row>
    <row r="20" spans="1:11">
      <c r="A20" s="421" t="s">
        <v>826</v>
      </c>
      <c r="B20" s="421" t="s">
        <v>617</v>
      </c>
      <c r="C20" s="292" t="s">
        <v>9278</v>
      </c>
      <c r="D20" s="316">
        <v>8117</v>
      </c>
      <c r="F20" s="421" t="s">
        <v>9264</v>
      </c>
      <c r="I20" s="292"/>
      <c r="K20" s="292"/>
    </row>
    <row r="21" spans="1:11">
      <c r="A21" s="421" t="s">
        <v>827</v>
      </c>
      <c r="B21" s="421" t="s">
        <v>9279</v>
      </c>
      <c r="C21" s="292" t="s">
        <v>9280</v>
      </c>
      <c r="D21" s="316">
        <v>7179</v>
      </c>
      <c r="F21" s="421" t="s">
        <v>9264</v>
      </c>
      <c r="I21" s="292"/>
      <c r="K21" s="292"/>
    </row>
    <row r="22" spans="1:11">
      <c r="A22" s="421" t="s">
        <v>828</v>
      </c>
      <c r="B22" s="421" t="s">
        <v>9281</v>
      </c>
      <c r="C22" s="292" t="s">
        <v>9282</v>
      </c>
      <c r="D22" s="316">
        <v>8631</v>
      </c>
      <c r="F22" s="421" t="s">
        <v>9264</v>
      </c>
      <c r="I22" s="292"/>
      <c r="K22" s="292"/>
    </row>
    <row r="23" spans="1:11">
      <c r="A23" s="421" t="s">
        <v>829</v>
      </c>
      <c r="B23" s="421" t="s">
        <v>9283</v>
      </c>
      <c r="C23" s="292" t="s">
        <v>9284</v>
      </c>
      <c r="D23" s="316">
        <v>8012</v>
      </c>
      <c r="F23" s="421" t="s">
        <v>9266</v>
      </c>
      <c r="I23" s="292"/>
      <c r="K23" s="292"/>
    </row>
    <row r="24" spans="1:11">
      <c r="A24" s="421" t="s">
        <v>830</v>
      </c>
      <c r="B24" s="421" t="s">
        <v>9285</v>
      </c>
      <c r="C24" s="292" t="s">
        <v>9286</v>
      </c>
      <c r="D24" s="316">
        <v>7845</v>
      </c>
      <c r="F24" s="421" t="s">
        <v>9266</v>
      </c>
      <c r="I24" s="292"/>
      <c r="K24" s="292"/>
    </row>
    <row r="25" spans="1:11">
      <c r="A25" s="421" t="s">
        <v>831</v>
      </c>
      <c r="B25" s="421" t="s">
        <v>9287</v>
      </c>
      <c r="C25" s="292" t="s">
        <v>9288</v>
      </c>
      <c r="D25" s="316">
        <v>7868</v>
      </c>
      <c r="F25" s="421" t="s">
        <v>9266</v>
      </c>
      <c r="I25" s="292"/>
      <c r="K25" s="292"/>
    </row>
    <row r="26" spans="1:11">
      <c r="A26" s="421" t="s">
        <v>832</v>
      </c>
      <c r="B26" s="421" t="s">
        <v>9289</v>
      </c>
      <c r="C26" s="292" t="s">
        <v>9290</v>
      </c>
      <c r="D26" s="316">
        <v>7568</v>
      </c>
      <c r="F26" s="421" t="s">
        <v>9264</v>
      </c>
      <c r="I26" s="292"/>
      <c r="K26" s="292"/>
    </row>
    <row r="27" spans="1:11">
      <c r="A27" s="421" t="s">
        <v>833</v>
      </c>
      <c r="B27" s="421" t="s">
        <v>9291</v>
      </c>
      <c r="C27" s="292" t="s">
        <v>9292</v>
      </c>
      <c r="D27" s="316">
        <v>7966</v>
      </c>
      <c r="F27" s="421" t="s">
        <v>9266</v>
      </c>
      <c r="I27" s="292"/>
      <c r="K27" s="292"/>
    </row>
    <row r="28" spans="1:11">
      <c r="A28" s="421" t="s">
        <v>834</v>
      </c>
      <c r="B28" s="421" t="s">
        <v>9293</v>
      </c>
      <c r="C28" s="292" t="s">
        <v>9294</v>
      </c>
      <c r="D28" s="316">
        <v>7725</v>
      </c>
      <c r="F28" s="421" t="s">
        <v>9267</v>
      </c>
      <c r="I28" s="292"/>
      <c r="K28" s="292"/>
    </row>
    <row r="29" spans="1:11">
      <c r="A29" s="421" t="s">
        <v>835</v>
      </c>
      <c r="B29" s="421" t="s">
        <v>9295</v>
      </c>
      <c r="C29" s="292" t="s">
        <v>9296</v>
      </c>
      <c r="D29" s="316">
        <v>7828</v>
      </c>
      <c r="F29" s="421" t="s">
        <v>9266</v>
      </c>
      <c r="I29" s="292"/>
      <c r="K29" s="292"/>
    </row>
    <row r="30" spans="1:11">
      <c r="A30" s="421" t="s">
        <v>836</v>
      </c>
      <c r="B30" s="421" t="s">
        <v>9297</v>
      </c>
      <c r="C30" s="292" t="s">
        <v>9298</v>
      </c>
      <c r="D30" s="316">
        <v>7329</v>
      </c>
      <c r="F30" s="421" t="s">
        <v>9264</v>
      </c>
      <c r="I30" s="292"/>
      <c r="K30" s="292"/>
    </row>
    <row r="31" spans="1:11">
      <c r="A31" s="421" t="s">
        <v>837</v>
      </c>
      <c r="B31" s="421" t="s">
        <v>9299</v>
      </c>
      <c r="C31" s="292" t="s">
        <v>9300</v>
      </c>
      <c r="D31" s="316">
        <v>7836</v>
      </c>
      <c r="F31" s="421" t="s">
        <v>9264</v>
      </c>
      <c r="I31" s="292"/>
      <c r="K31" s="292"/>
    </row>
    <row r="32" spans="1:11">
      <c r="A32" s="421" t="s">
        <v>838</v>
      </c>
      <c r="B32" s="421" t="s">
        <v>5043</v>
      </c>
      <c r="C32" s="292" t="s">
        <v>9301</v>
      </c>
      <c r="D32" s="316">
        <v>8229</v>
      </c>
      <c r="F32" s="421" t="s">
        <v>9266</v>
      </c>
      <c r="I32" s="292"/>
      <c r="K32" s="292"/>
    </row>
    <row r="33" spans="1:11">
      <c r="A33" s="421" t="s">
        <v>840</v>
      </c>
      <c r="B33" s="421" t="s">
        <v>1074</v>
      </c>
      <c r="C33" s="292" t="s">
        <v>9302</v>
      </c>
      <c r="D33" s="316">
        <v>7954</v>
      </c>
      <c r="F33" s="421" t="s">
        <v>9267</v>
      </c>
      <c r="I33" s="292"/>
      <c r="K33" s="292"/>
    </row>
    <row r="34" spans="1:11">
      <c r="A34" s="421" t="s">
        <v>841</v>
      </c>
      <c r="B34" s="421" t="s">
        <v>9303</v>
      </c>
      <c r="C34" s="292" t="s">
        <v>9304</v>
      </c>
      <c r="D34" s="316">
        <v>8348</v>
      </c>
      <c r="F34" s="421" t="s">
        <v>9266</v>
      </c>
      <c r="I34" s="292"/>
      <c r="K34" s="292"/>
    </row>
    <row r="35" spans="1:11">
      <c r="A35" s="421" t="s">
        <v>878</v>
      </c>
      <c r="B35" s="421" t="s">
        <v>9305</v>
      </c>
      <c r="C35" s="292" t="s">
        <v>9306</v>
      </c>
      <c r="D35" s="316">
        <v>6693</v>
      </c>
      <c r="F35" s="421" t="s">
        <v>9264</v>
      </c>
      <c r="I35" s="292"/>
      <c r="K35" s="292"/>
    </row>
    <row r="37" spans="1:11">
      <c r="A37" s="422" t="s">
        <v>9307</v>
      </c>
    </row>
  </sheetData>
  <printOptions gridLinesSet="0"/>
  <pageMargins left="0.78740157480314965" right="0" top="0.51181102362204722" bottom="0.51181102362204722" header="0.51181102362204722" footer="0.51181102362204722"/>
  <pageSetup paperSize="9" scale="70" orientation="portrait" horizontalDpi="300" verticalDpi="300" r:id="rId1"/>
  <headerFooter alignWithMargins="0">
    <oddFooter>&amp;C&amp;"Times New Roman,Regular"&amp;8&amp;P of &amp;N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71"/>
  <sheetViews>
    <sheetView showGridLines="0" zoomScaleNormal="100" workbookViewId="0"/>
  </sheetViews>
  <sheetFormatPr defaultColWidth="12.59765625" defaultRowHeight="14.5"/>
  <cols>
    <col min="1" max="1" width="4.8984375" style="86" customWidth="1"/>
    <col min="2" max="2" width="45.69921875" style="86" customWidth="1"/>
    <col min="3" max="3" width="11.3984375" style="86" customWidth="1"/>
    <col min="4" max="4" width="10.09765625" style="86" customWidth="1"/>
    <col min="5" max="5" width="2.59765625" style="86" customWidth="1"/>
    <col min="6" max="6" width="26.8984375" style="86" customWidth="1"/>
    <col min="7" max="16384" width="12.59765625" style="86"/>
  </cols>
  <sheetData>
    <row r="1" spans="1:6">
      <c r="A1" s="85" t="s">
        <v>1075</v>
      </c>
      <c r="D1" s="87">
        <v>2016</v>
      </c>
      <c r="E1" s="87"/>
    </row>
    <row r="2" spans="1:6">
      <c r="A2" s="85"/>
      <c r="D2" s="87"/>
      <c r="E2" s="87"/>
    </row>
    <row r="3" spans="1:6">
      <c r="A3" s="85" t="s">
        <v>170</v>
      </c>
      <c r="D3" s="92">
        <f>D34</f>
        <v>148586</v>
      </c>
    </row>
    <row r="4" spans="1:6" ht="15" thickBot="1">
      <c r="A4" s="85" t="s">
        <v>602</v>
      </c>
      <c r="D4" s="126">
        <f>D65</f>
        <v>346724</v>
      </c>
      <c r="E4" s="89"/>
    </row>
    <row r="5" spans="1:6" ht="15" thickBot="1">
      <c r="A5" s="85"/>
      <c r="D5" s="93">
        <f>D3+D4</f>
        <v>495310</v>
      </c>
      <c r="E5" s="89"/>
    </row>
    <row r="6" spans="1:6">
      <c r="D6" s="90"/>
    </row>
    <row r="7" spans="1:6">
      <c r="A7" s="86" t="s">
        <v>603</v>
      </c>
      <c r="D7" s="90">
        <f>D168</f>
        <v>74439</v>
      </c>
      <c r="F7" s="86" t="s">
        <v>604</v>
      </c>
    </row>
    <row r="8" spans="1:6">
      <c r="D8" s="90"/>
    </row>
    <row r="9" spans="1:6">
      <c r="A9" s="85" t="s">
        <v>605</v>
      </c>
      <c r="D9" s="88">
        <f>D166</f>
        <v>75543</v>
      </c>
      <c r="E9" s="89"/>
      <c r="F9" s="86" t="s">
        <v>604</v>
      </c>
    </row>
    <row r="10" spans="1:6">
      <c r="D10" s="90"/>
    </row>
    <row r="11" spans="1:6">
      <c r="A11" s="85" t="s">
        <v>606</v>
      </c>
      <c r="D11" s="88">
        <f>D165</f>
        <v>77385</v>
      </c>
      <c r="E11" s="89"/>
      <c r="F11" s="86" t="s">
        <v>604</v>
      </c>
    </row>
    <row r="12" spans="1:6">
      <c r="D12" s="90"/>
    </row>
    <row r="13" spans="1:6">
      <c r="A13" s="85" t="s">
        <v>607</v>
      </c>
      <c r="D13" s="88">
        <f>D167</f>
        <v>77247</v>
      </c>
      <c r="E13" s="89"/>
      <c r="F13" s="86" t="s">
        <v>604</v>
      </c>
    </row>
    <row r="14" spans="1:6">
      <c r="D14" s="90"/>
    </row>
    <row r="15" spans="1:6">
      <c r="A15" s="85" t="s">
        <v>171</v>
      </c>
      <c r="D15" s="92">
        <f>D56</f>
        <v>76254</v>
      </c>
      <c r="E15" s="89"/>
      <c r="F15" s="85" t="s">
        <v>172</v>
      </c>
    </row>
    <row r="16" spans="1:6">
      <c r="D16" s="90"/>
    </row>
    <row r="17" spans="1:6">
      <c r="A17" s="85" t="s">
        <v>173</v>
      </c>
      <c r="D17" s="88">
        <f>D57</f>
        <v>72332</v>
      </c>
      <c r="E17" s="89"/>
      <c r="F17" s="85" t="s">
        <v>172</v>
      </c>
    </row>
    <row r="18" spans="1:6">
      <c r="D18" s="90"/>
    </row>
    <row r="19" spans="1:6">
      <c r="A19" s="85" t="s">
        <v>2332</v>
      </c>
      <c r="D19" s="90">
        <f>DORSET!D38</f>
        <v>34810</v>
      </c>
      <c r="F19" s="86" t="s">
        <v>2335</v>
      </c>
    </row>
    <row r="20" spans="1:6" ht="15" thickBot="1">
      <c r="A20" s="85"/>
      <c r="D20" s="126">
        <f>D169</f>
        <v>42110</v>
      </c>
      <c r="E20" s="89"/>
      <c r="F20" s="86" t="s">
        <v>604</v>
      </c>
    </row>
    <row r="21" spans="1:6" ht="15" thickBot="1">
      <c r="A21" s="85"/>
      <c r="D21" s="93">
        <f>D19+D20</f>
        <v>76920</v>
      </c>
      <c r="E21" s="89"/>
    </row>
    <row r="22" spans="1:6">
      <c r="A22" s="85"/>
      <c r="D22" s="88"/>
      <c r="E22" s="89"/>
    </row>
    <row r="23" spans="1:6">
      <c r="A23" s="85" t="s">
        <v>1041</v>
      </c>
      <c r="D23" s="88">
        <f>D7+D9+D11+D13+D15+D17+D20</f>
        <v>495310</v>
      </c>
      <c r="E23" s="89"/>
    </row>
    <row r="24" spans="1:6">
      <c r="A24" s="85"/>
      <c r="D24" s="88"/>
      <c r="E24" s="89"/>
    </row>
    <row r="25" spans="1:6">
      <c r="A25" s="85" t="s">
        <v>1042</v>
      </c>
      <c r="D25" s="88">
        <f>MAX(D7,D9,D11,D13,D15,D17,D21)-MIN(D7,D9,D11,D13,D15,D17,D21)</f>
        <v>5053</v>
      </c>
      <c r="E25" s="89"/>
    </row>
    <row r="26" spans="1:6">
      <c r="A26" s="85"/>
      <c r="D26" s="88"/>
      <c r="E26" s="89"/>
    </row>
    <row r="27" spans="1:6">
      <c r="A27" s="85" t="s">
        <v>1045</v>
      </c>
      <c r="D27" s="88">
        <f>STDEVP(D7,D9,D11,D13,D20,D17,D21)</f>
        <v>11853.641582885413</v>
      </c>
      <c r="E27" s="91"/>
    </row>
    <row r="29" spans="1:6">
      <c r="A29" s="85" t="s">
        <v>2320</v>
      </c>
    </row>
    <row r="30" spans="1:6">
      <c r="A30" s="85"/>
    </row>
    <row r="31" spans="1:6">
      <c r="A31" s="85"/>
    </row>
    <row r="32" spans="1:6">
      <c r="A32" s="85"/>
      <c r="D32" s="10" t="s">
        <v>285</v>
      </c>
      <c r="E32" s="11"/>
      <c r="F32" s="11" t="s">
        <v>1842</v>
      </c>
    </row>
    <row r="33" spans="1:6">
      <c r="A33" s="85"/>
      <c r="D33" s="10">
        <v>2016</v>
      </c>
      <c r="E33" s="11"/>
      <c r="F33" s="12" t="s">
        <v>286</v>
      </c>
    </row>
    <row r="34" spans="1:6">
      <c r="A34" s="85" t="s">
        <v>170</v>
      </c>
      <c r="D34" s="92">
        <f>SUM(D35:D54)</f>
        <v>148586</v>
      </c>
    </row>
    <row r="35" spans="1:6">
      <c r="A35" s="85" t="s">
        <v>812</v>
      </c>
      <c r="B35" s="85" t="s">
        <v>1805</v>
      </c>
      <c r="C35" s="1" t="s">
        <v>2280</v>
      </c>
      <c r="D35" s="7">
        <v>8634</v>
      </c>
      <c r="E35" s="89"/>
      <c r="F35" s="85" t="s">
        <v>171</v>
      </c>
    </row>
    <row r="36" spans="1:6">
      <c r="A36" s="85" t="s">
        <v>813</v>
      </c>
      <c r="B36" s="85" t="s">
        <v>888</v>
      </c>
      <c r="C36" s="1" t="s">
        <v>1817</v>
      </c>
      <c r="D36" s="7">
        <v>6607</v>
      </c>
      <c r="E36" s="89"/>
      <c r="F36" s="85" t="s">
        <v>173</v>
      </c>
    </row>
    <row r="37" spans="1:6">
      <c r="A37" s="85" t="s">
        <v>814</v>
      </c>
      <c r="B37" s="85" t="s">
        <v>1806</v>
      </c>
      <c r="C37" s="1" t="s">
        <v>1818</v>
      </c>
      <c r="D37" s="7">
        <v>4663</v>
      </c>
      <c r="E37" s="89"/>
      <c r="F37" s="85" t="s">
        <v>173</v>
      </c>
    </row>
    <row r="38" spans="1:6">
      <c r="A38" s="85" t="s">
        <v>815</v>
      </c>
      <c r="B38" s="85" t="s">
        <v>1807</v>
      </c>
      <c r="C38" s="1" t="s">
        <v>1819</v>
      </c>
      <c r="D38" s="7">
        <v>8413</v>
      </c>
      <c r="E38" s="89"/>
      <c r="F38" s="85" t="s">
        <v>171</v>
      </c>
    </row>
    <row r="39" spans="1:6">
      <c r="A39" s="85" t="s">
        <v>816</v>
      </c>
      <c r="B39" s="85" t="s">
        <v>341</v>
      </c>
      <c r="C39" s="1" t="s">
        <v>1820</v>
      </c>
      <c r="D39" s="7">
        <v>6430</v>
      </c>
      <c r="E39" s="89"/>
      <c r="F39" s="85" t="s">
        <v>173</v>
      </c>
    </row>
    <row r="40" spans="1:6">
      <c r="A40" s="85" t="s">
        <v>826</v>
      </c>
      <c r="B40" s="85" t="s">
        <v>342</v>
      </c>
      <c r="C40" s="1" t="s">
        <v>1821</v>
      </c>
      <c r="D40" s="7">
        <v>8209</v>
      </c>
      <c r="E40" s="89"/>
      <c r="F40" s="85" t="s">
        <v>171</v>
      </c>
    </row>
    <row r="41" spans="1:6">
      <c r="A41" s="85" t="s">
        <v>827</v>
      </c>
      <c r="B41" s="85" t="s">
        <v>343</v>
      </c>
      <c r="C41" s="1" t="s">
        <v>2279</v>
      </c>
      <c r="D41" s="7">
        <v>8779</v>
      </c>
      <c r="E41" s="89"/>
      <c r="F41" s="85" t="s">
        <v>171</v>
      </c>
    </row>
    <row r="42" spans="1:6">
      <c r="A42" s="85" t="s">
        <v>828</v>
      </c>
      <c r="B42" s="85" t="s">
        <v>1808</v>
      </c>
      <c r="C42" s="1" t="s">
        <v>1822</v>
      </c>
      <c r="D42" s="7">
        <v>8073</v>
      </c>
      <c r="E42" s="89"/>
      <c r="F42" s="85" t="s">
        <v>173</v>
      </c>
    </row>
    <row r="43" spans="1:6">
      <c r="A43" s="122">
        <v>9</v>
      </c>
      <c r="B43" s="85" t="s">
        <v>1809</v>
      </c>
      <c r="C43" s="1" t="s">
        <v>1823</v>
      </c>
      <c r="D43" s="8">
        <v>8061</v>
      </c>
      <c r="E43" s="89"/>
      <c r="F43" s="85" t="s">
        <v>173</v>
      </c>
    </row>
    <row r="44" spans="1:6">
      <c r="A44" s="122">
        <v>10</v>
      </c>
      <c r="B44" s="85" t="s">
        <v>1810</v>
      </c>
      <c r="C44" s="1" t="s">
        <v>1824</v>
      </c>
      <c r="D44" s="7">
        <v>6648</v>
      </c>
      <c r="E44" s="89"/>
      <c r="F44" s="85" t="s">
        <v>173</v>
      </c>
    </row>
    <row r="45" spans="1:6">
      <c r="A45" s="122">
        <v>11</v>
      </c>
      <c r="B45" s="85" t="s">
        <v>458</v>
      </c>
      <c r="C45" s="1" t="s">
        <v>1825</v>
      </c>
      <c r="D45" s="8">
        <v>7248</v>
      </c>
      <c r="E45" s="89"/>
      <c r="F45" s="85" t="s">
        <v>173</v>
      </c>
    </row>
    <row r="46" spans="1:6">
      <c r="A46" s="122">
        <v>12</v>
      </c>
      <c r="B46" s="85" t="s">
        <v>1811</v>
      </c>
      <c r="C46" s="1" t="s">
        <v>2281</v>
      </c>
      <c r="D46" s="7">
        <v>9100</v>
      </c>
      <c r="E46" s="89"/>
      <c r="F46" s="85" t="s">
        <v>171</v>
      </c>
    </row>
    <row r="47" spans="1:6">
      <c r="A47" s="85" t="s">
        <v>833</v>
      </c>
      <c r="B47" s="85" t="s">
        <v>1812</v>
      </c>
      <c r="C47" s="1" t="s">
        <v>1826</v>
      </c>
      <c r="D47" s="7">
        <v>7986</v>
      </c>
      <c r="E47" s="89"/>
      <c r="F47" s="85" t="s">
        <v>171</v>
      </c>
    </row>
    <row r="48" spans="1:6">
      <c r="A48" s="85" t="s">
        <v>834</v>
      </c>
      <c r="B48" s="85" t="s">
        <v>1005</v>
      </c>
      <c r="C48" s="1" t="s">
        <v>1827</v>
      </c>
      <c r="D48" s="8">
        <v>2484</v>
      </c>
      <c r="E48" s="89"/>
      <c r="F48" s="85" t="s">
        <v>173</v>
      </c>
    </row>
    <row r="49" spans="1:6">
      <c r="A49" s="85" t="s">
        <v>835</v>
      </c>
      <c r="B49" s="85" t="s">
        <v>1813</v>
      </c>
      <c r="C49" s="1" t="s">
        <v>1828</v>
      </c>
      <c r="D49" s="7">
        <v>8678</v>
      </c>
      <c r="E49" s="89"/>
      <c r="F49" s="85" t="s">
        <v>171</v>
      </c>
    </row>
    <row r="50" spans="1:6">
      <c r="A50" s="122">
        <v>16</v>
      </c>
      <c r="B50" s="85" t="s">
        <v>740</v>
      </c>
      <c r="C50" s="1" t="s">
        <v>1829</v>
      </c>
      <c r="D50" s="8">
        <v>7613</v>
      </c>
      <c r="E50" s="89"/>
      <c r="F50" s="85" t="s">
        <v>171</v>
      </c>
    </row>
    <row r="51" spans="1:6">
      <c r="A51" s="122">
        <v>17</v>
      </c>
      <c r="B51" s="85" t="s">
        <v>1814</v>
      </c>
      <c r="C51" s="1" t="s">
        <v>1830</v>
      </c>
      <c r="D51" s="7">
        <v>8842</v>
      </c>
      <c r="E51" s="89"/>
      <c r="F51" s="85" t="s">
        <v>171</v>
      </c>
    </row>
    <row r="52" spans="1:6">
      <c r="A52" s="122">
        <v>18</v>
      </c>
      <c r="B52" s="85" t="s">
        <v>693</v>
      </c>
      <c r="C52" s="1" t="s">
        <v>1831</v>
      </c>
      <c r="D52" s="7">
        <v>7799</v>
      </c>
      <c r="E52" s="89"/>
      <c r="F52" s="85" t="s">
        <v>173</v>
      </c>
    </row>
    <row r="53" spans="1:6">
      <c r="A53" s="122">
        <v>19</v>
      </c>
      <c r="B53" s="85" t="s">
        <v>1815</v>
      </c>
      <c r="C53" s="1" t="s">
        <v>1832</v>
      </c>
      <c r="D53" s="8">
        <v>8250</v>
      </c>
      <c r="E53" s="89"/>
      <c r="F53" s="85" t="s">
        <v>173</v>
      </c>
    </row>
    <row r="54" spans="1:6">
      <c r="A54" s="122">
        <v>20</v>
      </c>
      <c r="B54" s="85" t="s">
        <v>1816</v>
      </c>
      <c r="C54" s="1" t="s">
        <v>1833</v>
      </c>
      <c r="D54" s="8">
        <v>6069</v>
      </c>
      <c r="E54" s="89"/>
      <c r="F54" s="85" t="s">
        <v>173</v>
      </c>
    </row>
    <row r="55" spans="1:6">
      <c r="D55" s="88"/>
    </row>
    <row r="56" spans="1:6">
      <c r="A56" s="85" t="s">
        <v>171</v>
      </c>
      <c r="D56" s="92">
        <f>D35+D38+D40+D41+D46+D47+SUM(D49:D51)</f>
        <v>76254</v>
      </c>
    </row>
    <row r="57" spans="1:6">
      <c r="A57" s="85" t="s">
        <v>173</v>
      </c>
      <c r="D57" s="90">
        <f>D36+D37+D39+SUM(D42:D45)+D48+SUM(D52:D54)</f>
        <v>72332</v>
      </c>
    </row>
    <row r="58" spans="1:6">
      <c r="A58" s="85"/>
    </row>
    <row r="59" spans="1:6">
      <c r="A59" s="85" t="s">
        <v>2282</v>
      </c>
    </row>
    <row r="60" spans="1:6">
      <c r="A60" s="85" t="s">
        <v>2283</v>
      </c>
    </row>
    <row r="61" spans="1:6">
      <c r="A61" s="85"/>
    </row>
    <row r="62" spans="1:6">
      <c r="A62" s="85"/>
    </row>
    <row r="63" spans="1:6">
      <c r="D63" s="10" t="s">
        <v>285</v>
      </c>
      <c r="E63" s="11"/>
      <c r="F63" s="11" t="s">
        <v>1842</v>
      </c>
    </row>
    <row r="64" spans="1:6">
      <c r="D64" s="10">
        <v>2016</v>
      </c>
      <c r="E64" s="11"/>
      <c r="F64" s="12" t="s">
        <v>286</v>
      </c>
    </row>
    <row r="65" spans="1:9">
      <c r="A65" s="85" t="s">
        <v>602</v>
      </c>
      <c r="B65" s="85"/>
      <c r="C65" s="85"/>
      <c r="D65" s="88">
        <f>SUM(D66:D163)</f>
        <v>346724</v>
      </c>
      <c r="E65" s="89"/>
    </row>
    <row r="66" spans="1:9">
      <c r="A66" s="85" t="s">
        <v>812</v>
      </c>
      <c r="B66" s="85" t="s">
        <v>749</v>
      </c>
      <c r="C66" s="1" t="s">
        <v>1518</v>
      </c>
      <c r="D66" s="8">
        <v>3881</v>
      </c>
      <c r="E66" s="89"/>
      <c r="F66" s="85" t="s">
        <v>605</v>
      </c>
      <c r="G66" s="1"/>
      <c r="I66" s="1"/>
    </row>
    <row r="67" spans="1:9">
      <c r="A67" s="85" t="s">
        <v>813</v>
      </c>
      <c r="B67" s="85" t="s">
        <v>750</v>
      </c>
      <c r="C67" s="1" t="s">
        <v>1519</v>
      </c>
      <c r="D67" s="8">
        <v>3314</v>
      </c>
      <c r="E67" s="89"/>
      <c r="F67" s="85" t="s">
        <v>607</v>
      </c>
      <c r="G67" s="1"/>
      <c r="I67" s="1"/>
    </row>
    <row r="68" spans="1:9">
      <c r="A68" s="85" t="s">
        <v>814</v>
      </c>
      <c r="B68" s="85" t="s">
        <v>751</v>
      </c>
      <c r="C68" s="1" t="s">
        <v>1520</v>
      </c>
      <c r="D68" s="8">
        <v>4199</v>
      </c>
      <c r="E68" s="89"/>
      <c r="F68" s="85" t="s">
        <v>607</v>
      </c>
      <c r="G68" s="1"/>
      <c r="I68" s="1"/>
    </row>
    <row r="69" spans="1:9">
      <c r="A69" s="85" t="s">
        <v>815</v>
      </c>
      <c r="B69" s="85" t="s">
        <v>752</v>
      </c>
      <c r="C69" s="1" t="s">
        <v>1521</v>
      </c>
      <c r="D69" s="8">
        <v>3580</v>
      </c>
      <c r="E69" s="89"/>
      <c r="F69" s="85" t="s">
        <v>607</v>
      </c>
      <c r="G69" s="1"/>
      <c r="I69" s="1"/>
    </row>
    <row r="70" spans="1:9">
      <c r="A70" s="85" t="s">
        <v>816</v>
      </c>
      <c r="B70" s="85" t="s">
        <v>753</v>
      </c>
      <c r="C70" s="1" t="s">
        <v>1522</v>
      </c>
      <c r="D70" s="8">
        <v>3354</v>
      </c>
      <c r="E70" s="89"/>
      <c r="F70" s="85" t="s">
        <v>607</v>
      </c>
      <c r="G70" s="1"/>
      <c r="I70" s="1"/>
    </row>
    <row r="71" spans="1:9">
      <c r="A71" s="85" t="s">
        <v>826</v>
      </c>
      <c r="B71" s="85" t="s">
        <v>754</v>
      </c>
      <c r="C71" s="1" t="s">
        <v>1523</v>
      </c>
      <c r="D71" s="8">
        <v>3670</v>
      </c>
      <c r="E71" s="89"/>
      <c r="F71" s="85" t="s">
        <v>2334</v>
      </c>
      <c r="G71" s="1"/>
      <c r="I71" s="1"/>
    </row>
    <row r="72" spans="1:9">
      <c r="A72" s="85" t="s">
        <v>827</v>
      </c>
      <c r="B72" s="85" t="s">
        <v>755</v>
      </c>
      <c r="C72" s="1" t="s">
        <v>1524</v>
      </c>
      <c r="D72" s="7">
        <v>3724</v>
      </c>
      <c r="E72" s="89"/>
      <c r="F72" s="85" t="s">
        <v>2334</v>
      </c>
      <c r="G72" s="1"/>
      <c r="I72" s="1"/>
    </row>
    <row r="73" spans="1:9">
      <c r="A73" s="85" t="s">
        <v>828</v>
      </c>
      <c r="B73" s="85" t="s">
        <v>756</v>
      </c>
      <c r="C73" s="1" t="s">
        <v>1525</v>
      </c>
      <c r="D73" s="7">
        <v>3873</v>
      </c>
      <c r="E73" s="89"/>
      <c r="F73" s="85" t="s">
        <v>2334</v>
      </c>
      <c r="G73" s="1"/>
      <c r="I73" s="1"/>
    </row>
    <row r="74" spans="1:9">
      <c r="A74" s="85" t="s">
        <v>829</v>
      </c>
      <c r="B74" s="85" t="s">
        <v>757</v>
      </c>
      <c r="C74" s="1" t="s">
        <v>1526</v>
      </c>
      <c r="D74" s="8">
        <v>3687</v>
      </c>
      <c r="E74" s="89"/>
      <c r="F74" s="85" t="s">
        <v>603</v>
      </c>
      <c r="G74" s="1"/>
      <c r="I74" s="1"/>
    </row>
    <row r="75" spans="1:9">
      <c r="A75" s="85" t="s">
        <v>830</v>
      </c>
      <c r="B75" s="85" t="s">
        <v>758</v>
      </c>
      <c r="C75" s="1" t="s">
        <v>1527</v>
      </c>
      <c r="D75" s="8">
        <v>3784</v>
      </c>
      <c r="E75" s="89"/>
      <c r="F75" s="85" t="s">
        <v>605</v>
      </c>
      <c r="G75" s="1"/>
      <c r="I75" s="1"/>
    </row>
    <row r="76" spans="1:9">
      <c r="A76" s="85" t="s">
        <v>831</v>
      </c>
      <c r="B76" s="85" t="s">
        <v>759</v>
      </c>
      <c r="C76" s="1" t="s">
        <v>1528</v>
      </c>
      <c r="D76" s="8">
        <v>3817</v>
      </c>
      <c r="E76" s="89"/>
      <c r="F76" s="85" t="s">
        <v>607</v>
      </c>
      <c r="G76" s="1"/>
      <c r="I76" s="1"/>
    </row>
    <row r="77" spans="1:9">
      <c r="A77" s="85" t="s">
        <v>832</v>
      </c>
      <c r="B77" s="85" t="s">
        <v>760</v>
      </c>
      <c r="C77" s="1" t="s">
        <v>1529</v>
      </c>
      <c r="D77" s="8">
        <v>3719</v>
      </c>
      <c r="E77" s="89"/>
      <c r="F77" s="85" t="s">
        <v>605</v>
      </c>
      <c r="G77" s="1"/>
      <c r="I77" s="1"/>
    </row>
    <row r="78" spans="1:9">
      <c r="A78" s="85" t="s">
        <v>833</v>
      </c>
      <c r="B78" s="85" t="s">
        <v>761</v>
      </c>
      <c r="C78" s="1" t="s">
        <v>1530</v>
      </c>
      <c r="D78" s="8">
        <v>3475</v>
      </c>
      <c r="E78" s="89"/>
      <c r="F78" s="85" t="s">
        <v>603</v>
      </c>
      <c r="G78" s="1"/>
      <c r="I78" s="1"/>
    </row>
    <row r="79" spans="1:9">
      <c r="A79" s="85" t="s">
        <v>834</v>
      </c>
      <c r="B79" s="85" t="s">
        <v>762</v>
      </c>
      <c r="C79" s="1" t="s">
        <v>1531</v>
      </c>
      <c r="D79" s="8">
        <v>3164</v>
      </c>
      <c r="E79" s="89"/>
      <c r="F79" s="85" t="s">
        <v>605</v>
      </c>
      <c r="G79" s="1"/>
      <c r="I79" s="1"/>
    </row>
    <row r="80" spans="1:9">
      <c r="A80" s="85" t="s">
        <v>835</v>
      </c>
      <c r="B80" s="85" t="s">
        <v>763</v>
      </c>
      <c r="C80" s="1" t="s">
        <v>1532</v>
      </c>
      <c r="D80" s="8">
        <v>3770</v>
      </c>
      <c r="E80" s="89"/>
      <c r="F80" s="85" t="s">
        <v>605</v>
      </c>
      <c r="G80" s="1"/>
      <c r="I80" s="1"/>
    </row>
    <row r="81" spans="1:9">
      <c r="A81" s="85" t="s">
        <v>836</v>
      </c>
      <c r="B81" s="85" t="s">
        <v>764</v>
      </c>
      <c r="C81" s="1" t="s">
        <v>1533</v>
      </c>
      <c r="D81" s="8">
        <v>3095</v>
      </c>
      <c r="E81" s="89"/>
      <c r="F81" s="85" t="s">
        <v>605</v>
      </c>
      <c r="G81" s="1"/>
      <c r="I81" s="1"/>
    </row>
    <row r="82" spans="1:9">
      <c r="A82" s="85" t="s">
        <v>837</v>
      </c>
      <c r="B82" s="85" t="s">
        <v>765</v>
      </c>
      <c r="C82" s="1" t="s">
        <v>1534</v>
      </c>
      <c r="D82" s="8">
        <v>3398</v>
      </c>
      <c r="E82" s="89"/>
      <c r="F82" s="85" t="s">
        <v>605</v>
      </c>
      <c r="G82" s="1"/>
      <c r="I82" s="1"/>
    </row>
    <row r="83" spans="1:9">
      <c r="A83" s="85" t="s">
        <v>838</v>
      </c>
      <c r="B83" s="85" t="s">
        <v>766</v>
      </c>
      <c r="C83" s="1" t="s">
        <v>1535</v>
      </c>
      <c r="D83" s="8">
        <v>3689</v>
      </c>
      <c r="E83" s="89"/>
      <c r="F83" s="85" t="s">
        <v>605</v>
      </c>
      <c r="G83" s="1"/>
      <c r="I83" s="1"/>
    </row>
    <row r="84" spans="1:9">
      <c r="A84" s="85" t="s">
        <v>840</v>
      </c>
      <c r="B84" s="85" t="s">
        <v>767</v>
      </c>
      <c r="C84" s="1" t="s">
        <v>1536</v>
      </c>
      <c r="D84" s="7">
        <v>3326</v>
      </c>
      <c r="E84" s="89"/>
      <c r="F84" s="85" t="s">
        <v>603</v>
      </c>
      <c r="G84" s="1"/>
      <c r="I84" s="1"/>
    </row>
    <row r="85" spans="1:9">
      <c r="A85" s="85" t="s">
        <v>841</v>
      </c>
      <c r="B85" s="85" t="s">
        <v>768</v>
      </c>
      <c r="C85" s="1" t="s">
        <v>1537</v>
      </c>
      <c r="D85" s="7">
        <v>3355</v>
      </c>
      <c r="E85" s="89"/>
      <c r="F85" s="85" t="s">
        <v>603</v>
      </c>
      <c r="G85" s="1"/>
      <c r="I85" s="1"/>
    </row>
    <row r="86" spans="1:9">
      <c r="A86" s="85" t="s">
        <v>878</v>
      </c>
      <c r="B86" s="85" t="s">
        <v>119</v>
      </c>
      <c r="C86" s="1" t="s">
        <v>1538</v>
      </c>
      <c r="D86" s="7">
        <v>3210</v>
      </c>
      <c r="E86" s="89"/>
      <c r="F86" s="85" t="s">
        <v>603</v>
      </c>
      <c r="G86" s="1"/>
      <c r="I86" s="1"/>
    </row>
    <row r="87" spans="1:9">
      <c r="A87" s="85" t="s">
        <v>879</v>
      </c>
      <c r="B87" s="85" t="s">
        <v>769</v>
      </c>
      <c r="C87" s="1" t="s">
        <v>1539</v>
      </c>
      <c r="D87" s="7">
        <v>3005</v>
      </c>
      <c r="E87" s="89"/>
      <c r="F87" s="85" t="s">
        <v>603</v>
      </c>
      <c r="G87" s="1"/>
      <c r="I87" s="1"/>
    </row>
    <row r="88" spans="1:9">
      <c r="A88" s="85" t="s">
        <v>880</v>
      </c>
      <c r="B88" s="85" t="s">
        <v>770</v>
      </c>
      <c r="C88" s="1" t="s">
        <v>1540</v>
      </c>
      <c r="D88" s="7">
        <v>3430</v>
      </c>
      <c r="E88" s="89"/>
      <c r="F88" s="85" t="s">
        <v>603</v>
      </c>
      <c r="G88" s="1"/>
      <c r="I88" s="1"/>
    </row>
    <row r="89" spans="1:9">
      <c r="A89" s="85" t="s">
        <v>721</v>
      </c>
      <c r="B89" s="85" t="s">
        <v>771</v>
      </c>
      <c r="C89" s="1" t="s">
        <v>1541</v>
      </c>
      <c r="D89" s="7">
        <v>2921</v>
      </c>
      <c r="E89" s="89"/>
      <c r="F89" s="85" t="s">
        <v>603</v>
      </c>
      <c r="G89" s="1"/>
      <c r="I89" s="1"/>
    </row>
    <row r="90" spans="1:9">
      <c r="A90" s="85" t="s">
        <v>722</v>
      </c>
      <c r="B90" s="85" t="s">
        <v>772</v>
      </c>
      <c r="C90" s="1" t="s">
        <v>1542</v>
      </c>
      <c r="D90" s="7">
        <v>3266</v>
      </c>
      <c r="E90" s="89"/>
      <c r="F90" s="85" t="s">
        <v>603</v>
      </c>
      <c r="G90" s="1"/>
      <c r="I90" s="1"/>
    </row>
    <row r="91" spans="1:9">
      <c r="A91" s="85" t="s">
        <v>723</v>
      </c>
      <c r="B91" s="85" t="s">
        <v>773</v>
      </c>
      <c r="C91" s="1" t="s">
        <v>1543</v>
      </c>
      <c r="D91" s="7">
        <v>3244</v>
      </c>
      <c r="E91" s="89"/>
      <c r="F91" s="85" t="s">
        <v>603</v>
      </c>
      <c r="G91" s="1"/>
      <c r="I91" s="1"/>
    </row>
    <row r="92" spans="1:9">
      <c r="A92" s="85" t="s">
        <v>733</v>
      </c>
      <c r="B92" s="85" t="s">
        <v>100</v>
      </c>
      <c r="C92" s="1" t="s">
        <v>1544</v>
      </c>
      <c r="D92" s="7">
        <v>3561</v>
      </c>
      <c r="E92" s="89"/>
      <c r="F92" s="85" t="s">
        <v>603</v>
      </c>
      <c r="G92" s="1"/>
      <c r="I92" s="1"/>
    </row>
    <row r="93" spans="1:9">
      <c r="A93" s="85" t="s">
        <v>734</v>
      </c>
      <c r="B93" s="85" t="s">
        <v>774</v>
      </c>
      <c r="C93" s="1" t="s">
        <v>1545</v>
      </c>
      <c r="D93" s="7">
        <v>3712</v>
      </c>
      <c r="E93" s="89"/>
      <c r="F93" s="85" t="s">
        <v>603</v>
      </c>
      <c r="G93" s="1"/>
      <c r="I93" s="1"/>
    </row>
    <row r="94" spans="1:9">
      <c r="A94" s="85" t="s">
        <v>735</v>
      </c>
      <c r="B94" s="85" t="s">
        <v>775</v>
      </c>
      <c r="C94" s="1" t="s">
        <v>1546</v>
      </c>
      <c r="D94" s="7">
        <v>3933</v>
      </c>
      <c r="E94" s="89"/>
      <c r="F94" s="85" t="s">
        <v>2334</v>
      </c>
      <c r="G94" s="1"/>
      <c r="I94" s="1"/>
    </row>
    <row r="95" spans="1:9">
      <c r="A95" s="22">
        <v>30</v>
      </c>
      <c r="B95" s="85" t="s">
        <v>776</v>
      </c>
      <c r="C95" s="1" t="s">
        <v>1547</v>
      </c>
      <c r="D95" s="8">
        <v>3816</v>
      </c>
      <c r="E95" s="89"/>
      <c r="F95" s="85" t="s">
        <v>603</v>
      </c>
      <c r="G95" s="1"/>
      <c r="I95" s="1"/>
    </row>
    <row r="96" spans="1:9">
      <c r="A96" s="22">
        <v>31</v>
      </c>
      <c r="B96" s="85" t="s">
        <v>777</v>
      </c>
      <c r="C96" s="1" t="s">
        <v>1548</v>
      </c>
      <c r="D96" s="8">
        <v>3392</v>
      </c>
      <c r="E96" s="89"/>
      <c r="F96" s="85" t="s">
        <v>605</v>
      </c>
      <c r="G96" s="1"/>
      <c r="I96" s="1"/>
    </row>
    <row r="97" spans="1:9">
      <c r="A97" s="22">
        <v>32</v>
      </c>
      <c r="B97" s="85" t="s">
        <v>778</v>
      </c>
      <c r="C97" s="1" t="s">
        <v>1549</v>
      </c>
      <c r="D97" s="8">
        <v>3003</v>
      </c>
      <c r="E97" s="89"/>
      <c r="F97" s="85" t="s">
        <v>605</v>
      </c>
      <c r="G97" s="1"/>
      <c r="I97" s="1"/>
    </row>
    <row r="98" spans="1:9">
      <c r="A98" s="22">
        <v>33</v>
      </c>
      <c r="B98" s="85" t="s">
        <v>779</v>
      </c>
      <c r="C98" s="1" t="s">
        <v>1550</v>
      </c>
      <c r="D98" s="8">
        <v>3028</v>
      </c>
      <c r="E98" s="89"/>
      <c r="F98" s="85" t="s">
        <v>605</v>
      </c>
      <c r="G98" s="1"/>
      <c r="I98" s="1"/>
    </row>
    <row r="99" spans="1:9">
      <c r="A99" s="22">
        <v>34</v>
      </c>
      <c r="B99" s="85" t="s">
        <v>780</v>
      </c>
      <c r="C99" s="1" t="s">
        <v>1551</v>
      </c>
      <c r="D99" s="8">
        <v>3679</v>
      </c>
      <c r="E99" s="89"/>
      <c r="F99" s="85" t="s">
        <v>607</v>
      </c>
      <c r="G99" s="1"/>
      <c r="I99" s="1"/>
    </row>
    <row r="100" spans="1:9">
      <c r="A100" s="22">
        <v>35</v>
      </c>
      <c r="B100" s="85" t="s">
        <v>781</v>
      </c>
      <c r="C100" s="1" t="s">
        <v>1552</v>
      </c>
      <c r="D100" s="8">
        <v>4711</v>
      </c>
      <c r="E100" s="89"/>
      <c r="F100" s="85" t="s">
        <v>607</v>
      </c>
      <c r="G100" s="1"/>
      <c r="I100" s="1"/>
    </row>
    <row r="101" spans="1:9">
      <c r="A101" s="22">
        <v>36</v>
      </c>
      <c r="B101" s="85" t="s">
        <v>1718</v>
      </c>
      <c r="C101" s="1" t="s">
        <v>1553</v>
      </c>
      <c r="D101" s="8">
        <v>3540</v>
      </c>
      <c r="E101" s="89"/>
      <c r="F101" s="85" t="s">
        <v>2332</v>
      </c>
      <c r="G101" s="1"/>
      <c r="I101" s="1"/>
    </row>
    <row r="102" spans="1:9">
      <c r="A102" s="22">
        <v>37</v>
      </c>
      <c r="B102" s="85" t="s">
        <v>782</v>
      </c>
      <c r="C102" s="1" t="s">
        <v>1554</v>
      </c>
      <c r="D102" s="8">
        <v>3283</v>
      </c>
      <c r="E102" s="89"/>
      <c r="F102" s="85" t="s">
        <v>607</v>
      </c>
      <c r="G102" s="1"/>
      <c r="I102" s="1"/>
    </row>
    <row r="103" spans="1:9">
      <c r="A103" s="22">
        <v>38</v>
      </c>
      <c r="B103" s="85" t="s">
        <v>783</v>
      </c>
      <c r="C103" s="1" t="s">
        <v>1555</v>
      </c>
      <c r="D103" s="7">
        <v>3737</v>
      </c>
      <c r="E103" s="89"/>
      <c r="F103" s="85" t="s">
        <v>2334</v>
      </c>
      <c r="G103" s="1"/>
      <c r="I103" s="1"/>
    </row>
    <row r="104" spans="1:9">
      <c r="A104" s="22">
        <v>39</v>
      </c>
      <c r="B104" s="85" t="s">
        <v>784</v>
      </c>
      <c r="C104" s="1" t="s">
        <v>1556</v>
      </c>
      <c r="D104" s="7">
        <v>3334</v>
      </c>
      <c r="E104" s="89"/>
      <c r="F104" s="85" t="s">
        <v>2334</v>
      </c>
      <c r="G104" s="1"/>
      <c r="I104" s="1"/>
    </row>
    <row r="105" spans="1:9">
      <c r="A105" s="22">
        <v>40</v>
      </c>
      <c r="B105" s="85" t="s">
        <v>785</v>
      </c>
      <c r="C105" s="1" t="s">
        <v>1557</v>
      </c>
      <c r="D105" s="8">
        <v>3822</v>
      </c>
      <c r="E105" s="89"/>
      <c r="F105" s="85" t="s">
        <v>603</v>
      </c>
      <c r="G105" s="1"/>
      <c r="I105" s="1"/>
    </row>
    <row r="106" spans="1:9">
      <c r="A106" s="22">
        <v>41</v>
      </c>
      <c r="B106" s="85" t="s">
        <v>786</v>
      </c>
      <c r="C106" s="1" t="s">
        <v>1558</v>
      </c>
      <c r="D106" s="8">
        <v>3685</v>
      </c>
      <c r="E106" s="89"/>
      <c r="F106" s="85" t="s">
        <v>607</v>
      </c>
      <c r="G106" s="1"/>
      <c r="I106" s="1"/>
    </row>
    <row r="107" spans="1:9">
      <c r="A107" s="22">
        <v>42</v>
      </c>
      <c r="B107" s="85" t="s">
        <v>608</v>
      </c>
      <c r="C107" s="1" t="s">
        <v>1559</v>
      </c>
      <c r="D107" s="8">
        <v>3350</v>
      </c>
      <c r="E107" s="89"/>
      <c r="F107" s="85" t="s">
        <v>605</v>
      </c>
      <c r="G107" s="1"/>
      <c r="I107" s="1"/>
    </row>
    <row r="108" spans="1:9">
      <c r="A108" s="22">
        <v>43</v>
      </c>
      <c r="B108" s="85" t="s">
        <v>609</v>
      </c>
      <c r="C108" s="1" t="s">
        <v>1560</v>
      </c>
      <c r="D108" s="8">
        <v>2876</v>
      </c>
      <c r="E108" s="89"/>
      <c r="F108" s="85" t="s">
        <v>603</v>
      </c>
      <c r="G108" s="1"/>
      <c r="I108" s="1"/>
    </row>
    <row r="109" spans="1:9">
      <c r="A109" s="22">
        <v>44</v>
      </c>
      <c r="B109" s="85" t="s">
        <v>610</v>
      </c>
      <c r="C109" s="1" t="s">
        <v>1561</v>
      </c>
      <c r="D109" s="8">
        <v>3790</v>
      </c>
      <c r="E109" s="89"/>
      <c r="F109" s="85" t="s">
        <v>603</v>
      </c>
      <c r="G109" s="1"/>
      <c r="I109" s="1"/>
    </row>
    <row r="110" spans="1:9">
      <c r="A110" s="22">
        <v>45</v>
      </c>
      <c r="B110" s="85" t="s">
        <v>611</v>
      </c>
      <c r="C110" s="1" t="s">
        <v>1562</v>
      </c>
      <c r="D110" s="8">
        <v>3170</v>
      </c>
      <c r="E110" s="89"/>
      <c r="F110" s="85" t="s">
        <v>605</v>
      </c>
      <c r="G110" s="1"/>
      <c r="I110" s="1"/>
    </row>
    <row r="111" spans="1:9">
      <c r="A111" s="22">
        <v>46</v>
      </c>
      <c r="B111" s="85" t="s">
        <v>612</v>
      </c>
      <c r="C111" s="1" t="s">
        <v>1563</v>
      </c>
      <c r="D111" s="8">
        <v>2848</v>
      </c>
      <c r="E111" s="89"/>
      <c r="F111" s="85" t="s">
        <v>605</v>
      </c>
      <c r="G111" s="1"/>
      <c r="I111" s="1"/>
    </row>
    <row r="112" spans="1:9">
      <c r="A112" s="22">
        <v>47</v>
      </c>
      <c r="B112" s="85" t="s">
        <v>613</v>
      </c>
      <c r="C112" s="1" t="s">
        <v>1564</v>
      </c>
      <c r="D112" s="8">
        <v>3675</v>
      </c>
      <c r="E112" s="89"/>
      <c r="F112" s="85" t="s">
        <v>2334</v>
      </c>
      <c r="G112" s="1"/>
      <c r="I112" s="1"/>
    </row>
    <row r="113" spans="1:9">
      <c r="A113" s="22">
        <v>48</v>
      </c>
      <c r="B113" s="85" t="s">
        <v>614</v>
      </c>
      <c r="C113" s="1" t="s">
        <v>1565</v>
      </c>
      <c r="D113" s="8">
        <v>3419</v>
      </c>
      <c r="E113" s="89"/>
      <c r="F113" s="85" t="s">
        <v>2334</v>
      </c>
      <c r="G113" s="1"/>
      <c r="I113" s="1"/>
    </row>
    <row r="114" spans="1:9">
      <c r="A114" s="22">
        <v>49</v>
      </c>
      <c r="B114" s="85" t="s">
        <v>359</v>
      </c>
      <c r="C114" s="1" t="s">
        <v>1566</v>
      </c>
      <c r="D114" s="8">
        <v>3963</v>
      </c>
      <c r="E114" s="89"/>
      <c r="F114" s="85" t="s">
        <v>2334</v>
      </c>
      <c r="G114" s="1"/>
      <c r="I114" s="1"/>
    </row>
    <row r="115" spans="1:9">
      <c r="A115" s="22">
        <v>50</v>
      </c>
      <c r="B115" s="85" t="s">
        <v>358</v>
      </c>
      <c r="C115" s="1" t="s">
        <v>1567</v>
      </c>
      <c r="D115" s="8">
        <v>4093</v>
      </c>
      <c r="E115" s="89"/>
      <c r="F115" s="85" t="s">
        <v>2334</v>
      </c>
      <c r="G115" s="1"/>
      <c r="I115" s="1"/>
    </row>
    <row r="116" spans="1:9">
      <c r="A116" s="22">
        <v>51</v>
      </c>
      <c r="B116" s="85" t="s">
        <v>360</v>
      </c>
      <c r="C116" s="1" t="s">
        <v>1568</v>
      </c>
      <c r="D116" s="8">
        <v>3915</v>
      </c>
      <c r="E116" s="89"/>
      <c r="F116" s="85" t="s">
        <v>2334</v>
      </c>
      <c r="G116" s="1"/>
      <c r="I116" s="1"/>
    </row>
    <row r="117" spans="1:9">
      <c r="A117" s="22">
        <v>52</v>
      </c>
      <c r="B117" s="85" t="s">
        <v>361</v>
      </c>
      <c r="C117" s="1" t="s">
        <v>1569</v>
      </c>
      <c r="D117" s="8">
        <v>3319</v>
      </c>
      <c r="E117" s="89"/>
      <c r="F117" s="85" t="s">
        <v>2332</v>
      </c>
      <c r="G117" s="1"/>
      <c r="I117" s="1"/>
    </row>
    <row r="118" spans="1:9">
      <c r="A118" s="22">
        <v>53</v>
      </c>
      <c r="B118" s="85" t="s">
        <v>362</v>
      </c>
      <c r="C118" s="1" t="s">
        <v>1570</v>
      </c>
      <c r="D118" s="8">
        <v>3700</v>
      </c>
      <c r="E118" s="89"/>
      <c r="F118" s="85" t="s">
        <v>603</v>
      </c>
      <c r="G118" s="1"/>
      <c r="I118" s="1"/>
    </row>
    <row r="119" spans="1:9">
      <c r="A119" s="22">
        <v>54</v>
      </c>
      <c r="B119" s="85" t="s">
        <v>363</v>
      </c>
      <c r="C119" s="1" t="s">
        <v>1571</v>
      </c>
      <c r="D119" s="8">
        <v>3321</v>
      </c>
      <c r="E119" s="89"/>
      <c r="F119" s="85" t="s">
        <v>2332</v>
      </c>
      <c r="G119" s="1"/>
      <c r="I119" s="1"/>
    </row>
    <row r="120" spans="1:9">
      <c r="A120" s="22">
        <v>55</v>
      </c>
      <c r="B120" s="85" t="s">
        <v>364</v>
      </c>
      <c r="C120" s="1" t="s">
        <v>1572</v>
      </c>
      <c r="D120" s="8">
        <v>3743</v>
      </c>
      <c r="E120" s="89"/>
      <c r="F120" s="85" t="s">
        <v>605</v>
      </c>
      <c r="G120" s="1"/>
      <c r="I120" s="1"/>
    </row>
    <row r="121" spans="1:9">
      <c r="A121" s="22">
        <v>56</v>
      </c>
      <c r="B121" s="85" t="s">
        <v>365</v>
      </c>
      <c r="C121" s="1" t="s">
        <v>1573</v>
      </c>
      <c r="D121" s="8">
        <v>3451</v>
      </c>
      <c r="E121" s="89"/>
      <c r="F121" s="85" t="s">
        <v>605</v>
      </c>
      <c r="G121" s="1"/>
      <c r="I121" s="1"/>
    </row>
    <row r="122" spans="1:9">
      <c r="A122" s="22">
        <v>57</v>
      </c>
      <c r="B122" s="85" t="s">
        <v>366</v>
      </c>
      <c r="C122" s="1" t="s">
        <v>1574</v>
      </c>
      <c r="D122" s="8">
        <v>3637</v>
      </c>
      <c r="E122" s="89"/>
      <c r="F122" s="85" t="s">
        <v>603</v>
      </c>
      <c r="G122" s="1"/>
      <c r="I122" s="1"/>
    </row>
    <row r="123" spans="1:9">
      <c r="A123" s="22">
        <v>58</v>
      </c>
      <c r="B123" s="85" t="s">
        <v>367</v>
      </c>
      <c r="C123" s="1" t="s">
        <v>1575</v>
      </c>
      <c r="D123" s="8">
        <v>3707</v>
      </c>
      <c r="E123" s="89"/>
      <c r="F123" s="85" t="s">
        <v>607</v>
      </c>
      <c r="G123" s="1"/>
      <c r="I123" s="1"/>
    </row>
    <row r="124" spans="1:9">
      <c r="A124" s="22">
        <v>59</v>
      </c>
      <c r="B124" s="85" t="s">
        <v>368</v>
      </c>
      <c r="C124" s="1" t="s">
        <v>1576</v>
      </c>
      <c r="D124" s="8">
        <v>3288</v>
      </c>
      <c r="E124" s="89"/>
      <c r="F124" s="85" t="s">
        <v>605</v>
      </c>
      <c r="G124" s="1"/>
      <c r="I124" s="1"/>
    </row>
    <row r="125" spans="1:9">
      <c r="A125" s="22">
        <v>60</v>
      </c>
      <c r="B125" s="85" t="s">
        <v>369</v>
      </c>
      <c r="C125" s="1" t="s">
        <v>1577</v>
      </c>
      <c r="D125" s="8">
        <v>4230</v>
      </c>
      <c r="E125" s="89"/>
      <c r="F125" s="85" t="s">
        <v>607</v>
      </c>
      <c r="G125" s="1"/>
      <c r="I125" s="1"/>
    </row>
    <row r="126" spans="1:9">
      <c r="A126" s="22">
        <v>61</v>
      </c>
      <c r="B126" s="85" t="s">
        <v>370</v>
      </c>
      <c r="C126" s="1" t="s">
        <v>1578</v>
      </c>
      <c r="D126" s="8">
        <v>3296</v>
      </c>
      <c r="E126" s="89"/>
      <c r="F126" s="85" t="s">
        <v>607</v>
      </c>
      <c r="G126" s="1"/>
      <c r="I126" s="1"/>
    </row>
    <row r="127" spans="1:9">
      <c r="A127" s="22">
        <v>62</v>
      </c>
      <c r="B127" s="85" t="s">
        <v>371</v>
      </c>
      <c r="C127" s="1" t="s">
        <v>1579</v>
      </c>
      <c r="D127" s="8">
        <v>3911</v>
      </c>
      <c r="E127" s="89"/>
      <c r="F127" s="85" t="s">
        <v>607</v>
      </c>
      <c r="G127" s="1"/>
      <c r="I127" s="1"/>
    </row>
    <row r="128" spans="1:9">
      <c r="A128" s="22">
        <v>63</v>
      </c>
      <c r="B128" s="85" t="s">
        <v>372</v>
      </c>
      <c r="C128" s="1" t="s">
        <v>1580</v>
      </c>
      <c r="D128" s="8">
        <v>3425</v>
      </c>
      <c r="E128" s="89"/>
      <c r="F128" s="85" t="s">
        <v>607</v>
      </c>
      <c r="G128" s="1"/>
      <c r="I128" s="1"/>
    </row>
    <row r="129" spans="1:9">
      <c r="A129" s="22">
        <v>64</v>
      </c>
      <c r="B129" s="85" t="s">
        <v>67</v>
      </c>
      <c r="C129" s="1" t="s">
        <v>1581</v>
      </c>
      <c r="D129" s="8">
        <v>3987</v>
      </c>
      <c r="E129" s="89"/>
      <c r="F129" s="85" t="s">
        <v>607</v>
      </c>
      <c r="G129" s="1"/>
      <c r="I129" s="1"/>
    </row>
    <row r="130" spans="1:9">
      <c r="A130" s="22">
        <v>65</v>
      </c>
      <c r="B130" s="85" t="s">
        <v>68</v>
      </c>
      <c r="C130" s="1" t="s">
        <v>1582</v>
      </c>
      <c r="D130" s="8">
        <v>3522</v>
      </c>
      <c r="E130" s="89"/>
      <c r="F130" s="85" t="s">
        <v>607</v>
      </c>
      <c r="G130" s="1"/>
      <c r="I130" s="1"/>
    </row>
    <row r="131" spans="1:9">
      <c r="A131" s="22">
        <v>66</v>
      </c>
      <c r="B131" s="85" t="s">
        <v>69</v>
      </c>
      <c r="C131" s="1" t="s">
        <v>1583</v>
      </c>
      <c r="D131" s="8">
        <v>3930</v>
      </c>
      <c r="E131" s="89"/>
      <c r="F131" s="85" t="s">
        <v>607</v>
      </c>
      <c r="G131" s="1"/>
      <c r="I131" s="1"/>
    </row>
    <row r="132" spans="1:9">
      <c r="A132" s="22">
        <v>67</v>
      </c>
      <c r="B132" s="85" t="s">
        <v>70</v>
      </c>
      <c r="C132" s="1" t="s">
        <v>1584</v>
      </c>
      <c r="D132" s="8">
        <v>3464</v>
      </c>
      <c r="E132" s="89"/>
      <c r="F132" s="85" t="s">
        <v>607</v>
      </c>
      <c r="G132" s="1"/>
      <c r="I132" s="1"/>
    </row>
    <row r="133" spans="1:9">
      <c r="A133" s="22">
        <v>68</v>
      </c>
      <c r="B133" s="85" t="s">
        <v>71</v>
      </c>
      <c r="C133" s="1" t="s">
        <v>1585</v>
      </c>
      <c r="D133" s="8">
        <v>3891</v>
      </c>
      <c r="E133" s="89"/>
      <c r="F133" s="85" t="s">
        <v>603</v>
      </c>
      <c r="G133" s="1"/>
      <c r="I133" s="1"/>
    </row>
    <row r="134" spans="1:9">
      <c r="A134" s="22">
        <v>69</v>
      </c>
      <c r="B134" s="85" t="s">
        <v>72</v>
      </c>
      <c r="C134" s="1" t="s">
        <v>1586</v>
      </c>
      <c r="D134" s="8">
        <v>3376</v>
      </c>
      <c r="E134" s="89"/>
      <c r="F134" s="85" t="s">
        <v>2334</v>
      </c>
      <c r="G134" s="1"/>
      <c r="I134" s="1"/>
    </row>
    <row r="135" spans="1:9">
      <c r="A135" s="22">
        <v>70</v>
      </c>
      <c r="B135" s="85" t="s">
        <v>374</v>
      </c>
      <c r="C135" s="1" t="s">
        <v>1587</v>
      </c>
      <c r="D135" s="8">
        <v>3416</v>
      </c>
      <c r="E135" s="89"/>
      <c r="F135" s="85" t="s">
        <v>2334</v>
      </c>
      <c r="G135" s="1"/>
      <c r="I135" s="1"/>
    </row>
    <row r="136" spans="1:9">
      <c r="A136" s="22">
        <v>71</v>
      </c>
      <c r="B136" s="85" t="s">
        <v>375</v>
      </c>
      <c r="C136" s="1" t="s">
        <v>1588</v>
      </c>
      <c r="D136" s="8">
        <v>3156</v>
      </c>
      <c r="E136" s="89"/>
      <c r="F136" s="85" t="s">
        <v>605</v>
      </c>
      <c r="G136" s="1"/>
      <c r="I136" s="1"/>
    </row>
    <row r="137" spans="1:9">
      <c r="A137" s="22">
        <v>72</v>
      </c>
      <c r="B137" s="85" t="s">
        <v>373</v>
      </c>
      <c r="C137" s="1" t="s">
        <v>1589</v>
      </c>
      <c r="D137" s="8">
        <v>3961</v>
      </c>
      <c r="E137" s="89"/>
      <c r="F137" s="85" t="s">
        <v>605</v>
      </c>
      <c r="G137" s="1"/>
      <c r="I137" s="1"/>
    </row>
    <row r="138" spans="1:9">
      <c r="A138" s="22">
        <v>73</v>
      </c>
      <c r="B138" s="85" t="s">
        <v>977</v>
      </c>
      <c r="C138" s="1" t="s">
        <v>1590</v>
      </c>
      <c r="D138" s="8">
        <v>3759</v>
      </c>
      <c r="E138" s="89"/>
      <c r="F138" s="85" t="s">
        <v>605</v>
      </c>
      <c r="G138" s="1"/>
      <c r="I138" s="1"/>
    </row>
    <row r="139" spans="1:9">
      <c r="A139" s="22">
        <v>74</v>
      </c>
      <c r="B139" s="85" t="s">
        <v>978</v>
      </c>
      <c r="C139" s="1" t="s">
        <v>1591</v>
      </c>
      <c r="D139" s="8">
        <v>3487</v>
      </c>
      <c r="E139" s="89"/>
      <c r="F139" s="85" t="s">
        <v>607</v>
      </c>
      <c r="G139" s="1"/>
      <c r="I139" s="1"/>
    </row>
    <row r="140" spans="1:9">
      <c r="A140" s="22">
        <v>75</v>
      </c>
      <c r="B140" s="85" t="s">
        <v>979</v>
      </c>
      <c r="C140" s="1" t="s">
        <v>1592</v>
      </c>
      <c r="D140" s="8">
        <v>3370</v>
      </c>
      <c r="E140" s="89"/>
      <c r="F140" s="85" t="s">
        <v>2332</v>
      </c>
      <c r="G140" s="1"/>
      <c r="I140" s="1"/>
    </row>
    <row r="141" spans="1:9">
      <c r="A141" s="22">
        <v>76</v>
      </c>
      <c r="B141" s="85" t="s">
        <v>980</v>
      </c>
      <c r="C141" s="1" t="s">
        <v>1593</v>
      </c>
      <c r="D141" s="8">
        <v>3128</v>
      </c>
      <c r="E141" s="89"/>
      <c r="F141" s="85" t="s">
        <v>2334</v>
      </c>
      <c r="G141" s="1"/>
      <c r="I141" s="1"/>
    </row>
    <row r="142" spans="1:9">
      <c r="A142" s="22">
        <v>77</v>
      </c>
      <c r="B142" s="85" t="s">
        <v>981</v>
      </c>
      <c r="C142" s="1" t="s">
        <v>1594</v>
      </c>
      <c r="D142" s="8">
        <v>3254</v>
      </c>
      <c r="E142" s="89"/>
      <c r="F142" s="85" t="s">
        <v>2334</v>
      </c>
      <c r="G142" s="1"/>
      <c r="I142" s="1"/>
    </row>
    <row r="143" spans="1:9">
      <c r="A143" s="22">
        <v>78</v>
      </c>
      <c r="B143" s="85" t="s">
        <v>982</v>
      </c>
      <c r="C143" s="1" t="s">
        <v>1595</v>
      </c>
      <c r="D143" s="8">
        <v>2967</v>
      </c>
      <c r="E143" s="89"/>
      <c r="F143" s="85" t="s">
        <v>2334</v>
      </c>
      <c r="G143" s="1"/>
      <c r="I143" s="1"/>
    </row>
    <row r="144" spans="1:9">
      <c r="A144" s="22">
        <v>79</v>
      </c>
      <c r="B144" s="85" t="s">
        <v>983</v>
      </c>
      <c r="C144" s="1" t="s">
        <v>1596</v>
      </c>
      <c r="D144" s="8">
        <v>3188</v>
      </c>
      <c r="E144" s="89"/>
      <c r="F144" s="85" t="s">
        <v>2334</v>
      </c>
      <c r="G144" s="1"/>
      <c r="I144" s="1"/>
    </row>
    <row r="145" spans="1:9">
      <c r="A145" s="22">
        <v>80</v>
      </c>
      <c r="B145" s="85" t="s">
        <v>1841</v>
      </c>
      <c r="C145" s="1" t="s">
        <v>1597</v>
      </c>
      <c r="D145" s="8">
        <v>3504</v>
      </c>
      <c r="E145" s="89"/>
      <c r="F145" s="85" t="s">
        <v>2334</v>
      </c>
      <c r="G145" s="1"/>
      <c r="I145" s="1"/>
    </row>
    <row r="146" spans="1:9">
      <c r="A146" s="22">
        <v>81</v>
      </c>
      <c r="B146" s="85" t="s">
        <v>984</v>
      </c>
      <c r="C146" s="1" t="s">
        <v>1598</v>
      </c>
      <c r="D146" s="8">
        <v>3294</v>
      </c>
      <c r="E146" s="89"/>
      <c r="F146" s="85" t="s">
        <v>2334</v>
      </c>
      <c r="G146" s="1"/>
      <c r="I146" s="1"/>
    </row>
    <row r="147" spans="1:9">
      <c r="A147" s="22">
        <v>82</v>
      </c>
      <c r="B147" s="85" t="s">
        <v>985</v>
      </c>
      <c r="C147" s="1" t="s">
        <v>1599</v>
      </c>
      <c r="D147" s="8">
        <v>3715</v>
      </c>
      <c r="E147" s="89"/>
      <c r="F147" s="85" t="s">
        <v>2334</v>
      </c>
      <c r="G147" s="1"/>
      <c r="I147" s="1"/>
    </row>
    <row r="148" spans="1:9">
      <c r="A148" s="22">
        <v>83</v>
      </c>
      <c r="B148" s="85" t="s">
        <v>986</v>
      </c>
      <c r="C148" s="1" t="s">
        <v>1600</v>
      </c>
      <c r="D148" s="8">
        <v>3670</v>
      </c>
      <c r="E148" s="89"/>
      <c r="F148" s="85" t="s">
        <v>605</v>
      </c>
      <c r="G148" s="1"/>
      <c r="I148" s="1"/>
    </row>
    <row r="149" spans="1:9">
      <c r="A149" s="22">
        <v>84</v>
      </c>
      <c r="B149" s="85" t="s">
        <v>987</v>
      </c>
      <c r="C149" s="1" t="s">
        <v>1601</v>
      </c>
      <c r="D149" s="8">
        <v>3465</v>
      </c>
      <c r="E149" s="89"/>
      <c r="F149" s="85" t="s">
        <v>2332</v>
      </c>
      <c r="G149" s="1"/>
      <c r="I149" s="1"/>
    </row>
    <row r="150" spans="1:9">
      <c r="A150" s="22">
        <v>85</v>
      </c>
      <c r="B150" s="85" t="s">
        <v>988</v>
      </c>
      <c r="C150" s="1" t="s">
        <v>1602</v>
      </c>
      <c r="D150" s="8">
        <v>3404</v>
      </c>
      <c r="E150" s="89"/>
      <c r="F150" s="85" t="s">
        <v>2332</v>
      </c>
      <c r="G150" s="1"/>
      <c r="I150" s="1"/>
    </row>
    <row r="151" spans="1:9">
      <c r="A151" s="22">
        <v>86</v>
      </c>
      <c r="B151" s="85" t="s">
        <v>989</v>
      </c>
      <c r="C151" s="1" t="s">
        <v>1603</v>
      </c>
      <c r="D151" s="8">
        <v>4016</v>
      </c>
      <c r="E151" s="89"/>
      <c r="F151" s="85" t="s">
        <v>2332</v>
      </c>
      <c r="G151" s="1"/>
      <c r="I151" s="1"/>
    </row>
    <row r="152" spans="1:9">
      <c r="A152" s="22">
        <v>87</v>
      </c>
      <c r="B152" s="85" t="s">
        <v>990</v>
      </c>
      <c r="C152" s="1" t="s">
        <v>1604</v>
      </c>
      <c r="D152" s="8">
        <v>3917</v>
      </c>
      <c r="E152" s="89"/>
      <c r="F152" s="85" t="s">
        <v>2332</v>
      </c>
      <c r="G152" s="1"/>
      <c r="I152" s="1"/>
    </row>
    <row r="153" spans="1:9">
      <c r="A153" s="22">
        <v>88</v>
      </c>
      <c r="B153" s="85" t="s">
        <v>991</v>
      </c>
      <c r="C153" s="1" t="s">
        <v>1605</v>
      </c>
      <c r="D153" s="8">
        <v>3327</v>
      </c>
      <c r="E153" s="89"/>
      <c r="F153" s="85" t="s">
        <v>2332</v>
      </c>
      <c r="G153" s="1"/>
      <c r="I153" s="1"/>
    </row>
    <row r="154" spans="1:9">
      <c r="A154" s="22">
        <v>89</v>
      </c>
      <c r="B154" s="85" t="s">
        <v>425</v>
      </c>
      <c r="C154" s="1" t="s">
        <v>1606</v>
      </c>
      <c r="D154" s="8">
        <v>3224</v>
      </c>
      <c r="E154" s="89"/>
      <c r="F154" s="85" t="s">
        <v>605</v>
      </c>
      <c r="G154" s="1"/>
      <c r="I154" s="1"/>
    </row>
    <row r="155" spans="1:9">
      <c r="A155" s="22">
        <v>90</v>
      </c>
      <c r="B155" s="85" t="s">
        <v>993</v>
      </c>
      <c r="C155" s="1" t="s">
        <v>1607</v>
      </c>
      <c r="D155" s="8">
        <v>3576</v>
      </c>
      <c r="E155" s="89"/>
      <c r="F155" s="85" t="s">
        <v>2332</v>
      </c>
      <c r="G155" s="1"/>
      <c r="I155" s="1"/>
    </row>
    <row r="156" spans="1:9">
      <c r="A156" s="22">
        <v>91</v>
      </c>
      <c r="B156" s="85" t="s">
        <v>992</v>
      </c>
      <c r="C156" s="1" t="s">
        <v>1608</v>
      </c>
      <c r="D156" s="8">
        <v>3228</v>
      </c>
      <c r="E156" s="89"/>
      <c r="F156" s="85" t="s">
        <v>2332</v>
      </c>
      <c r="G156" s="1"/>
      <c r="I156" s="1"/>
    </row>
    <row r="157" spans="1:9">
      <c r="A157" s="22">
        <v>92</v>
      </c>
      <c r="B157" s="85" t="s">
        <v>994</v>
      </c>
      <c r="C157" s="1" t="s">
        <v>1609</v>
      </c>
      <c r="D157" s="8">
        <v>3627</v>
      </c>
      <c r="E157" s="89"/>
      <c r="F157" s="85" t="s">
        <v>2332</v>
      </c>
      <c r="G157" s="1"/>
      <c r="I157" s="1"/>
    </row>
    <row r="158" spans="1:9">
      <c r="A158" s="22">
        <v>93</v>
      </c>
      <c r="B158" s="85" t="s">
        <v>995</v>
      </c>
      <c r="C158" s="1" t="s">
        <v>1610</v>
      </c>
      <c r="D158" s="8">
        <v>3565</v>
      </c>
      <c r="E158" s="89"/>
      <c r="F158" s="85" t="s">
        <v>607</v>
      </c>
      <c r="G158" s="1"/>
      <c r="I158" s="1"/>
    </row>
    <row r="159" spans="1:9">
      <c r="A159" s="22">
        <v>94</v>
      </c>
      <c r="B159" s="85" t="s">
        <v>996</v>
      </c>
      <c r="C159" s="1" t="s">
        <v>1611</v>
      </c>
      <c r="D159" s="8">
        <v>3261</v>
      </c>
      <c r="E159" s="89"/>
      <c r="F159" s="85" t="s">
        <v>2334</v>
      </c>
      <c r="G159" s="1"/>
      <c r="I159" s="1"/>
    </row>
    <row r="160" spans="1:9">
      <c r="A160" s="22">
        <v>95</v>
      </c>
      <c r="B160" s="85" t="s">
        <v>997</v>
      </c>
      <c r="C160" s="1" t="s">
        <v>1612</v>
      </c>
      <c r="D160" s="8">
        <v>3101</v>
      </c>
      <c r="E160" s="89"/>
      <c r="F160" s="85" t="s">
        <v>607</v>
      </c>
      <c r="G160" s="1"/>
      <c r="I160" s="1"/>
    </row>
    <row r="161" spans="1:9">
      <c r="A161" s="22">
        <v>96</v>
      </c>
      <c r="B161" s="85" t="s">
        <v>2284</v>
      </c>
      <c r="C161" s="1" t="s">
        <v>1613</v>
      </c>
      <c r="D161" s="8">
        <v>3654</v>
      </c>
      <c r="E161" s="89"/>
      <c r="F161" s="85" t="s">
        <v>603</v>
      </c>
      <c r="G161" s="1"/>
      <c r="I161" s="1"/>
    </row>
    <row r="162" spans="1:9">
      <c r="A162" s="85">
        <v>97</v>
      </c>
      <c r="B162" s="85" t="s">
        <v>2285</v>
      </c>
      <c r="C162" s="1" t="s">
        <v>1614</v>
      </c>
      <c r="D162" s="8">
        <v>3395</v>
      </c>
      <c r="E162" s="89"/>
      <c r="F162" s="85" t="s">
        <v>603</v>
      </c>
      <c r="G162" s="1"/>
      <c r="I162" s="1"/>
    </row>
    <row r="163" spans="1:9">
      <c r="A163" s="85">
        <v>98</v>
      </c>
      <c r="B163" s="85" t="s">
        <v>2286</v>
      </c>
      <c r="C163" s="1" t="s">
        <v>1615</v>
      </c>
      <c r="D163" s="8">
        <v>4612</v>
      </c>
      <c r="E163" s="89"/>
      <c r="F163" s="85" t="s">
        <v>603</v>
      </c>
      <c r="G163" s="1"/>
      <c r="I163" s="1"/>
    </row>
    <row r="164" spans="1:9">
      <c r="D164" s="88"/>
      <c r="E164" s="89"/>
      <c r="F164" s="85"/>
    </row>
    <row r="165" spans="1:9">
      <c r="A165" s="85" t="s">
        <v>603</v>
      </c>
      <c r="D165" s="88">
        <f>D74+D78+SUM(D84:D93)+D95+D105+D108+D109+D118+D122+D133+SUM(D161:D163)</f>
        <v>77385</v>
      </c>
    </row>
    <row r="166" spans="1:9">
      <c r="A166" s="85" t="s">
        <v>605</v>
      </c>
      <c r="D166" s="88">
        <f>D66+D75+D77+SUM(D79:D83)+SUM(D96:D98)+D107+D110+D111+D120+D121+D124+SUM(D136:D138)+D148+D154</f>
        <v>75543</v>
      </c>
    </row>
    <row r="167" spans="1:9">
      <c r="A167" s="85" t="s">
        <v>607</v>
      </c>
      <c r="D167" s="88">
        <f>SUM(D67:D70)+D76+D99+D100+D102+D106+D123+SUM(D125:D132)+D139+D158+D160</f>
        <v>77247</v>
      </c>
    </row>
    <row r="168" spans="1:9">
      <c r="A168" s="85" t="s">
        <v>2334</v>
      </c>
      <c r="D168" s="88">
        <f>SUM(D71:D73)+D94+D103+D104+SUM(D112:D116)+D134+D135+SUM(D141:D147)+D159</f>
        <v>74439</v>
      </c>
    </row>
    <row r="169" spans="1:9">
      <c r="A169" s="85" t="s">
        <v>2333</v>
      </c>
      <c r="D169" s="88">
        <f>D101+D117+D119+D140+SUM(D149:D153)+SUM(D155:D157)</f>
        <v>42110</v>
      </c>
      <c r="E169" s="89"/>
    </row>
    <row r="170" spans="1:9">
      <c r="E170" s="89"/>
    </row>
    <row r="171" spans="1:9">
      <c r="A171" s="86" t="s">
        <v>747</v>
      </c>
    </row>
  </sheetData>
  <phoneticPr fontId="5" type="noConversion"/>
  <printOptions gridLinesSet="0"/>
  <pageMargins left="0.51181102362204722" right="0" top="0.51181102362204722" bottom="0.51181102362204722" header="0.51181102362204722" footer="0.51181102362204722"/>
  <pageSetup paperSize="9" scale="81" orientation="portrait" horizontalDpi="300" verticalDpi="300" r:id="rId1"/>
  <headerFooter alignWithMargins="0">
    <oddFooter>&amp;C&amp;8&amp;P of &amp;N</oddFooter>
  </headerFooter>
  <rowBreaks count="1" manualBreakCount="1">
    <brk id="116" max="5" man="1"/>
  </rowBreaks>
  <ignoredErrors>
    <ignoredError sqref="D24 D56 D34 D65 D165:D169 D3:D14 D15:D17 D20:D23 D26 D25 D27" unlockedFormula="1"/>
  </ignoredError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225"/>
  <sheetViews>
    <sheetView showGridLines="0" zoomScaleNormal="100" workbookViewId="0"/>
  </sheetViews>
  <sheetFormatPr defaultColWidth="12.59765625" defaultRowHeight="14.5"/>
  <cols>
    <col min="1" max="1" width="4.8984375" style="148" customWidth="1"/>
    <col min="2" max="2" width="40.69921875" style="148" customWidth="1"/>
    <col min="3" max="3" width="11.59765625" style="148" customWidth="1"/>
    <col min="4" max="4" width="10.3984375" style="148" customWidth="1"/>
    <col min="5" max="5" width="2.296875" style="148" customWidth="1"/>
    <col min="6" max="6" width="35.69921875" style="148" customWidth="1"/>
    <col min="7" max="16384" width="12.59765625" style="148"/>
  </cols>
  <sheetData>
    <row r="1" spans="1:6">
      <c r="A1" s="147" t="s">
        <v>1075</v>
      </c>
      <c r="D1" s="148">
        <v>2016</v>
      </c>
    </row>
    <row r="3" spans="1:6">
      <c r="A3" s="147" t="s">
        <v>3766</v>
      </c>
      <c r="D3" s="206">
        <f t="shared" ref="D3" si="0">SUM(D5:D10)</f>
        <v>427975</v>
      </c>
    </row>
    <row r="4" spans="1:6">
      <c r="D4" s="150"/>
    </row>
    <row r="5" spans="1:6">
      <c r="A5" s="147" t="s">
        <v>3767</v>
      </c>
      <c r="C5" s="147"/>
      <c r="D5" s="149">
        <f t="shared" ref="D5" si="1">D48</f>
        <v>72042</v>
      </c>
      <c r="F5" s="207"/>
    </row>
    <row r="6" spans="1:6">
      <c r="A6" s="147" t="s">
        <v>3768</v>
      </c>
      <c r="C6" s="147"/>
      <c r="D6" s="149">
        <f t="shared" ref="D6" si="2">D88</f>
        <v>58606</v>
      </c>
      <c r="F6" s="207"/>
    </row>
    <row r="7" spans="1:6">
      <c r="A7" s="147" t="s">
        <v>3769</v>
      </c>
      <c r="C7" s="147"/>
      <c r="D7" s="149">
        <f t="shared" ref="D7" si="3">D119</f>
        <v>59495</v>
      </c>
      <c r="F7" s="207"/>
    </row>
    <row r="8" spans="1:6">
      <c r="A8" s="147" t="s">
        <v>3770</v>
      </c>
      <c r="C8" s="147"/>
      <c r="D8" s="149">
        <f t="shared" ref="D8" si="4">D140</f>
        <v>70542</v>
      </c>
      <c r="F8" s="207"/>
    </row>
    <row r="9" spans="1:6">
      <c r="A9" s="147" t="s">
        <v>3771</v>
      </c>
      <c r="C9" s="147"/>
      <c r="D9" s="149">
        <f t="shared" ref="D9" si="5">D164</f>
        <v>92064</v>
      </c>
      <c r="F9" s="207"/>
    </row>
    <row r="10" spans="1:6">
      <c r="A10" s="147" t="s">
        <v>3772</v>
      </c>
      <c r="C10" s="147"/>
      <c r="D10" s="149">
        <f t="shared" ref="D10" si="6">D209</f>
        <v>75226</v>
      </c>
      <c r="F10" s="207"/>
    </row>
    <row r="12" spans="1:6">
      <c r="A12" s="147" t="s">
        <v>3773</v>
      </c>
      <c r="D12" s="206">
        <f t="shared" ref="D12" si="7">D80</f>
        <v>53781</v>
      </c>
      <c r="F12" s="147" t="s">
        <v>3774</v>
      </c>
    </row>
    <row r="13" spans="1:6" ht="15" thickBot="1">
      <c r="A13" s="147"/>
      <c r="D13" s="151">
        <f>D198</f>
        <v>24340</v>
      </c>
      <c r="F13" s="147" t="s">
        <v>2396</v>
      </c>
    </row>
    <row r="14" spans="1:6" ht="15" thickBot="1">
      <c r="A14" s="147"/>
      <c r="D14" s="152">
        <f>D12+D13</f>
        <v>78121</v>
      </c>
      <c r="F14" s="147"/>
    </row>
    <row r="15" spans="1:6">
      <c r="D15" s="150"/>
    </row>
    <row r="16" spans="1:6">
      <c r="A16" s="147" t="s">
        <v>3151</v>
      </c>
      <c r="D16" s="150">
        <f>WARWICKSHIRE!D11</f>
        <v>18700</v>
      </c>
      <c r="F16" s="148" t="s">
        <v>3152</v>
      </c>
    </row>
    <row r="17" spans="1:6" ht="15" thickBot="1">
      <c r="A17" s="147"/>
      <c r="D17" s="151">
        <f>D199</f>
        <v>59336</v>
      </c>
      <c r="F17" s="147" t="s">
        <v>2396</v>
      </c>
    </row>
    <row r="18" spans="1:6" ht="15" thickBot="1">
      <c r="A18" s="147"/>
      <c r="D18" s="152">
        <f>D16+D17</f>
        <v>78036</v>
      </c>
      <c r="F18" s="147"/>
    </row>
    <row r="19" spans="1:6">
      <c r="D19" s="150"/>
    </row>
    <row r="20" spans="1:6">
      <c r="A20" s="147" t="s">
        <v>3775</v>
      </c>
      <c r="D20" s="150">
        <f>D81</f>
        <v>18261</v>
      </c>
      <c r="F20" s="147" t="s">
        <v>3774</v>
      </c>
    </row>
    <row r="21" spans="1:6" ht="15" thickBot="1">
      <c r="D21" s="151">
        <f>D133</f>
        <v>59495</v>
      </c>
      <c r="F21" s="147" t="s">
        <v>2384</v>
      </c>
    </row>
    <row r="22" spans="1:6" ht="15" thickBot="1">
      <c r="D22" s="151">
        <f>D20+D21</f>
        <v>77756</v>
      </c>
    </row>
    <row r="23" spans="1:6">
      <c r="D23" s="150"/>
    </row>
    <row r="24" spans="1:6">
      <c r="A24" s="147" t="s">
        <v>2395</v>
      </c>
      <c r="D24" s="206">
        <f>HEREFORDSHIRE!D11</f>
        <v>17620</v>
      </c>
      <c r="F24" s="147" t="s">
        <v>2392</v>
      </c>
    </row>
    <row r="25" spans="1:6">
      <c r="A25" s="147"/>
      <c r="D25" s="206">
        <f>D112</f>
        <v>58606</v>
      </c>
      <c r="F25" s="147" t="s">
        <v>2383</v>
      </c>
    </row>
    <row r="26" spans="1:6" ht="15" thickBot="1">
      <c r="A26" s="147"/>
      <c r="D26" s="151">
        <f>D200</f>
        <v>1946</v>
      </c>
      <c r="F26" s="147" t="s">
        <v>2396</v>
      </c>
    </row>
    <row r="27" spans="1:6" ht="15" thickBot="1">
      <c r="D27" s="151">
        <f>SUM(D24:D26)</f>
        <v>78172</v>
      </c>
    </row>
    <row r="28" spans="1:6">
      <c r="D28" s="150"/>
    </row>
    <row r="29" spans="1:6">
      <c r="A29" s="147" t="s">
        <v>3776</v>
      </c>
      <c r="D29" s="149">
        <f t="shared" ref="D29" si="8">D157</f>
        <v>70542</v>
      </c>
      <c r="F29" s="147" t="s">
        <v>2385</v>
      </c>
    </row>
    <row r="30" spans="1:6" ht="15" thickBot="1">
      <c r="A30" s="147"/>
      <c r="D30" s="151">
        <f>D201</f>
        <v>4290</v>
      </c>
      <c r="F30" s="147" t="s">
        <v>2396</v>
      </c>
    </row>
    <row r="31" spans="1:6" ht="15" thickBot="1">
      <c r="D31" s="151">
        <f>D29+D30</f>
        <v>74832</v>
      </c>
    </row>
    <row r="32" spans="1:6">
      <c r="D32" s="206"/>
    </row>
    <row r="33" spans="1:6">
      <c r="A33" s="147" t="s">
        <v>3777</v>
      </c>
      <c r="D33" s="150">
        <f>D202</f>
        <v>2152</v>
      </c>
      <c r="F33" s="147" t="s">
        <v>2396</v>
      </c>
    </row>
    <row r="34" spans="1:6" ht="15" thickBot="1">
      <c r="A34" s="147"/>
      <c r="D34" s="151">
        <f>D223</f>
        <v>75226</v>
      </c>
      <c r="F34" s="147" t="s">
        <v>2387</v>
      </c>
    </row>
    <row r="35" spans="1:6" ht="15" thickBot="1">
      <c r="A35" s="147"/>
      <c r="D35" s="152">
        <f>D33+D34</f>
        <v>77378</v>
      </c>
      <c r="F35" s="147"/>
    </row>
    <row r="36" spans="1:6">
      <c r="D36" s="150"/>
    </row>
    <row r="37" spans="1:6">
      <c r="A37" s="147" t="s">
        <v>1041</v>
      </c>
      <c r="D37" s="149">
        <f>D14+D17+D22+D25+D26+D31+D35</f>
        <v>427975</v>
      </c>
    </row>
    <row r="38" spans="1:6">
      <c r="A38" s="147"/>
      <c r="D38" s="149"/>
    </row>
    <row r="39" spans="1:6">
      <c r="A39" s="147" t="s">
        <v>1042</v>
      </c>
      <c r="D39" s="149">
        <f>MAX(D14,D18,D22,D27,D31,D35)-MIN(D14,D18,D22,D27,D31,D35)</f>
        <v>3340</v>
      </c>
    </row>
    <row r="40" spans="1:6">
      <c r="A40" s="147"/>
      <c r="D40" s="149"/>
    </row>
    <row r="41" spans="1:6">
      <c r="A41" s="156" t="s">
        <v>1045</v>
      </c>
      <c r="D41" s="149">
        <f>STDEVP(D14,D18,D22,D27,D31,D35)</f>
        <v>1171.9163437151419</v>
      </c>
    </row>
    <row r="42" spans="1:6">
      <c r="A42" s="156"/>
      <c r="D42" s="157"/>
    </row>
    <row r="43" spans="1:6">
      <c r="A43" s="156" t="s">
        <v>3778</v>
      </c>
      <c r="D43" s="157"/>
    </row>
    <row r="44" spans="1:6">
      <c r="A44" s="156"/>
      <c r="D44" s="157"/>
    </row>
    <row r="45" spans="1:6">
      <c r="A45" s="156"/>
      <c r="D45" s="157"/>
    </row>
    <row r="46" spans="1:6">
      <c r="D46" s="10" t="s">
        <v>285</v>
      </c>
      <c r="E46" s="16"/>
      <c r="F46" s="18" t="s">
        <v>1842</v>
      </c>
    </row>
    <row r="47" spans="1:6">
      <c r="D47" s="148">
        <v>2016</v>
      </c>
      <c r="F47" s="18" t="s">
        <v>286</v>
      </c>
    </row>
    <row r="48" spans="1:6">
      <c r="A48" s="208" t="s">
        <v>3779</v>
      </c>
      <c r="C48" s="208"/>
      <c r="D48" s="149">
        <f t="shared" ref="D48" si="9">SUM(D49:D78)</f>
        <v>72042</v>
      </c>
    </row>
    <row r="49" spans="1:6">
      <c r="A49" s="147" t="s">
        <v>812</v>
      </c>
      <c r="B49" s="147" t="s">
        <v>3780</v>
      </c>
      <c r="C49" s="1" t="s">
        <v>3781</v>
      </c>
      <c r="D49" s="7">
        <v>2248</v>
      </c>
      <c r="F49" s="147" t="s">
        <v>3775</v>
      </c>
    </row>
    <row r="50" spans="1:6">
      <c r="A50" s="147" t="s">
        <v>813</v>
      </c>
      <c r="B50" s="147" t="s">
        <v>3782</v>
      </c>
      <c r="C50" s="1" t="s">
        <v>3783</v>
      </c>
      <c r="D50" s="7">
        <v>2234</v>
      </c>
      <c r="F50" s="147" t="s">
        <v>3775</v>
      </c>
    </row>
    <row r="51" spans="1:6">
      <c r="A51" s="147" t="s">
        <v>814</v>
      </c>
      <c r="B51" s="148" t="s">
        <v>3784</v>
      </c>
      <c r="C51" s="1" t="s">
        <v>3785</v>
      </c>
      <c r="D51" s="7">
        <v>2492</v>
      </c>
      <c r="F51" s="147" t="s">
        <v>3773</v>
      </c>
    </row>
    <row r="52" spans="1:6">
      <c r="A52" s="147" t="s">
        <v>815</v>
      </c>
      <c r="B52" s="148" t="s">
        <v>3786</v>
      </c>
      <c r="C52" s="1" t="s">
        <v>3787</v>
      </c>
      <c r="D52" s="7">
        <v>2424</v>
      </c>
      <c r="F52" s="147" t="s">
        <v>3773</v>
      </c>
    </row>
    <row r="53" spans="1:6">
      <c r="A53" s="147" t="s">
        <v>816</v>
      </c>
      <c r="B53" s="148" t="s">
        <v>3788</v>
      </c>
      <c r="C53" s="1" t="s">
        <v>3789</v>
      </c>
      <c r="D53" s="7">
        <v>2208</v>
      </c>
      <c r="F53" s="147" t="s">
        <v>3775</v>
      </c>
    </row>
    <row r="54" spans="1:6">
      <c r="A54" s="147" t="s">
        <v>826</v>
      </c>
      <c r="B54" s="148" t="s">
        <v>3790</v>
      </c>
      <c r="C54" s="1" t="s">
        <v>3791</v>
      </c>
      <c r="D54" s="7">
        <v>5193</v>
      </c>
      <c r="F54" s="147" t="s">
        <v>3773</v>
      </c>
    </row>
    <row r="55" spans="1:6">
      <c r="A55" s="147" t="s">
        <v>827</v>
      </c>
      <c r="B55" s="148" t="s">
        <v>3792</v>
      </c>
      <c r="C55" s="1" t="s">
        <v>3793</v>
      </c>
      <c r="D55" s="7">
        <v>2363</v>
      </c>
      <c r="F55" s="147" t="s">
        <v>3773</v>
      </c>
    </row>
    <row r="56" spans="1:6">
      <c r="A56" s="147" t="s">
        <v>828</v>
      </c>
      <c r="B56" s="148" t="s">
        <v>3794</v>
      </c>
      <c r="C56" s="1" t="s">
        <v>3795</v>
      </c>
      <c r="D56" s="7">
        <v>2208</v>
      </c>
      <c r="F56" s="147" t="s">
        <v>3773</v>
      </c>
    </row>
    <row r="57" spans="1:6">
      <c r="A57" s="147" t="s">
        <v>829</v>
      </c>
      <c r="B57" s="147" t="s">
        <v>3796</v>
      </c>
      <c r="C57" s="1" t="s">
        <v>3797</v>
      </c>
      <c r="D57" s="7">
        <v>2174</v>
      </c>
      <c r="F57" s="147" t="s">
        <v>3773</v>
      </c>
    </row>
    <row r="58" spans="1:6">
      <c r="A58" s="147" t="s">
        <v>830</v>
      </c>
      <c r="B58" s="147" t="s">
        <v>3798</v>
      </c>
      <c r="C58" s="1" t="s">
        <v>3799</v>
      </c>
      <c r="D58" s="7">
        <v>2318</v>
      </c>
      <c r="F58" s="147" t="s">
        <v>3773</v>
      </c>
    </row>
    <row r="59" spans="1:6">
      <c r="A59" s="147" t="s">
        <v>831</v>
      </c>
      <c r="B59" s="147" t="s">
        <v>3800</v>
      </c>
      <c r="C59" s="1" t="s">
        <v>3801</v>
      </c>
      <c r="D59" s="7">
        <v>2142</v>
      </c>
      <c r="F59" s="147" t="s">
        <v>3773</v>
      </c>
    </row>
    <row r="60" spans="1:6">
      <c r="A60" s="147" t="s">
        <v>832</v>
      </c>
      <c r="B60" s="147" t="s">
        <v>3802</v>
      </c>
      <c r="C60" s="1" t="s">
        <v>3803</v>
      </c>
      <c r="D60" s="7">
        <v>2489</v>
      </c>
      <c r="F60" s="147" t="s">
        <v>3775</v>
      </c>
    </row>
    <row r="61" spans="1:6">
      <c r="A61" s="147" t="s">
        <v>833</v>
      </c>
      <c r="B61" s="147" t="s">
        <v>3804</v>
      </c>
      <c r="C61" s="1" t="s">
        <v>3805</v>
      </c>
      <c r="D61" s="7">
        <v>2044</v>
      </c>
      <c r="F61" s="147" t="s">
        <v>3773</v>
      </c>
    </row>
    <row r="62" spans="1:6">
      <c r="A62" s="147" t="s">
        <v>834</v>
      </c>
      <c r="B62" s="147" t="s">
        <v>3806</v>
      </c>
      <c r="C62" s="1" t="s">
        <v>3807</v>
      </c>
      <c r="D62" s="7">
        <v>2680</v>
      </c>
      <c r="F62" s="147" t="s">
        <v>3773</v>
      </c>
    </row>
    <row r="63" spans="1:6">
      <c r="A63" s="147" t="s">
        <v>835</v>
      </c>
      <c r="B63" s="147" t="s">
        <v>3808</v>
      </c>
      <c r="C63" s="1" t="s">
        <v>3809</v>
      </c>
      <c r="D63" s="7">
        <v>1778</v>
      </c>
      <c r="F63" s="147" t="s">
        <v>3773</v>
      </c>
    </row>
    <row r="64" spans="1:6">
      <c r="A64" s="147" t="s">
        <v>836</v>
      </c>
      <c r="B64" s="147" t="s">
        <v>3810</v>
      </c>
      <c r="C64" s="1" t="s">
        <v>3811</v>
      </c>
      <c r="D64" s="8">
        <v>2390</v>
      </c>
      <c r="F64" s="147" t="s">
        <v>3775</v>
      </c>
    </row>
    <row r="65" spans="1:6">
      <c r="A65" s="147" t="s">
        <v>837</v>
      </c>
      <c r="B65" s="147" t="s">
        <v>3812</v>
      </c>
      <c r="C65" s="1" t="s">
        <v>3813</v>
      </c>
      <c r="D65" s="8">
        <v>2242</v>
      </c>
      <c r="F65" s="147" t="s">
        <v>3773</v>
      </c>
    </row>
    <row r="66" spans="1:6">
      <c r="A66" s="209">
        <v>18</v>
      </c>
      <c r="B66" s="147" t="s">
        <v>3814</v>
      </c>
      <c r="C66" s="1" t="s">
        <v>3815</v>
      </c>
      <c r="D66" s="8">
        <v>2565</v>
      </c>
      <c r="F66" s="147" t="s">
        <v>3773</v>
      </c>
    </row>
    <row r="67" spans="1:6">
      <c r="A67" s="209">
        <v>19</v>
      </c>
      <c r="B67" s="147" t="s">
        <v>3816</v>
      </c>
      <c r="C67" s="1" t="s">
        <v>3817</v>
      </c>
      <c r="D67" s="8">
        <v>2395</v>
      </c>
      <c r="F67" s="147" t="s">
        <v>3773</v>
      </c>
    </row>
    <row r="68" spans="1:6">
      <c r="A68" s="210">
        <v>20</v>
      </c>
      <c r="B68" s="147" t="s">
        <v>3579</v>
      </c>
      <c r="C68" s="1" t="s">
        <v>3818</v>
      </c>
      <c r="D68" s="8">
        <v>2058</v>
      </c>
      <c r="F68" s="147" t="s">
        <v>3773</v>
      </c>
    </row>
    <row r="69" spans="1:6">
      <c r="A69" s="210">
        <v>21</v>
      </c>
      <c r="B69" s="147" t="s">
        <v>3819</v>
      </c>
      <c r="C69" s="1" t="s">
        <v>3820</v>
      </c>
      <c r="D69" s="8">
        <v>1385</v>
      </c>
      <c r="F69" s="147" t="s">
        <v>3773</v>
      </c>
    </row>
    <row r="70" spans="1:6">
      <c r="A70" s="210">
        <v>22</v>
      </c>
      <c r="B70" s="147" t="s">
        <v>3821</v>
      </c>
      <c r="C70" s="1" t="s">
        <v>3822</v>
      </c>
      <c r="D70" s="8">
        <v>2414</v>
      </c>
      <c r="F70" s="147" t="s">
        <v>3773</v>
      </c>
    </row>
    <row r="71" spans="1:6">
      <c r="A71" s="210">
        <v>23</v>
      </c>
      <c r="B71" s="147" t="s">
        <v>3823</v>
      </c>
      <c r="C71" s="1" t="s">
        <v>3824</v>
      </c>
      <c r="D71" s="8">
        <v>2507</v>
      </c>
      <c r="F71" s="147" t="s">
        <v>3773</v>
      </c>
    </row>
    <row r="72" spans="1:6">
      <c r="A72" s="147" t="s">
        <v>721</v>
      </c>
      <c r="B72" s="147" t="s">
        <v>3825</v>
      </c>
      <c r="C72" s="1" t="s">
        <v>3826</v>
      </c>
      <c r="D72" s="8">
        <v>2563</v>
      </c>
      <c r="F72" s="147" t="s">
        <v>3773</v>
      </c>
    </row>
    <row r="73" spans="1:6">
      <c r="A73" s="147" t="s">
        <v>722</v>
      </c>
      <c r="B73" s="147" t="s">
        <v>3827</v>
      </c>
      <c r="C73" s="1" t="s">
        <v>3828</v>
      </c>
      <c r="D73" s="8">
        <v>2671</v>
      </c>
      <c r="F73" s="147" t="s">
        <v>3773</v>
      </c>
    </row>
    <row r="74" spans="1:6">
      <c r="A74" s="147" t="s">
        <v>723</v>
      </c>
      <c r="B74" s="147" t="s">
        <v>3829</v>
      </c>
      <c r="C74" s="1" t="s">
        <v>3830</v>
      </c>
      <c r="D74" s="8">
        <v>2530</v>
      </c>
      <c r="F74" s="147" t="s">
        <v>3773</v>
      </c>
    </row>
    <row r="75" spans="1:6">
      <c r="A75" s="147" t="s">
        <v>733</v>
      </c>
      <c r="B75" s="147" t="s">
        <v>3831</v>
      </c>
      <c r="C75" s="1" t="s">
        <v>3832</v>
      </c>
      <c r="D75" s="8">
        <v>2635</v>
      </c>
      <c r="F75" s="147" t="s">
        <v>3773</v>
      </c>
    </row>
    <row r="76" spans="1:6">
      <c r="A76" s="147" t="s">
        <v>734</v>
      </c>
      <c r="B76" s="147" t="s">
        <v>3833</v>
      </c>
      <c r="C76" s="1" t="s">
        <v>3834</v>
      </c>
      <c r="D76" s="8">
        <v>2209</v>
      </c>
      <c r="F76" s="147" t="s">
        <v>3775</v>
      </c>
    </row>
    <row r="77" spans="1:6">
      <c r="A77" s="147" t="s">
        <v>735</v>
      </c>
      <c r="B77" s="147" t="s">
        <v>3835</v>
      </c>
      <c r="C77" s="1" t="s">
        <v>3836</v>
      </c>
      <c r="D77" s="8">
        <v>2344</v>
      </c>
      <c r="F77" s="147" t="s">
        <v>3775</v>
      </c>
    </row>
    <row r="78" spans="1:6">
      <c r="A78" s="147" t="s">
        <v>736</v>
      </c>
      <c r="B78" s="147" t="s">
        <v>3837</v>
      </c>
      <c r="C78" s="1" t="s">
        <v>3838</v>
      </c>
      <c r="D78" s="8">
        <v>2139</v>
      </c>
      <c r="F78" s="147" t="s">
        <v>3775</v>
      </c>
    </row>
    <row r="79" spans="1:6">
      <c r="D79" s="150"/>
    </row>
    <row r="80" spans="1:6">
      <c r="A80" s="147" t="s">
        <v>3839</v>
      </c>
      <c r="D80" s="149">
        <f>D51+D52+SUM(D54:D59)+SUM(D61:D63)+SUM(D65:D75)</f>
        <v>53781</v>
      </c>
    </row>
    <row r="81" spans="1:6">
      <c r="A81" s="147" t="s">
        <v>3840</v>
      </c>
      <c r="D81" s="149">
        <f>D49+D50+D53+D60+D64+SUM(D76:D78)</f>
        <v>18261</v>
      </c>
    </row>
    <row r="83" spans="1:6">
      <c r="A83" s="148" t="s">
        <v>3841</v>
      </c>
    </row>
    <row r="84" spans="1:6">
      <c r="A84" s="147"/>
    </row>
    <row r="85" spans="1:6">
      <c r="A85" s="147"/>
    </row>
    <row r="86" spans="1:6">
      <c r="D86" s="10" t="s">
        <v>285</v>
      </c>
      <c r="E86" s="16"/>
      <c r="F86" s="18" t="s">
        <v>1842</v>
      </c>
    </row>
    <row r="87" spans="1:6">
      <c r="D87" s="148">
        <v>2016</v>
      </c>
      <c r="F87" s="18" t="s">
        <v>286</v>
      </c>
    </row>
    <row r="88" spans="1:6">
      <c r="A88" s="147" t="s">
        <v>3842</v>
      </c>
      <c r="D88" s="149">
        <f t="shared" ref="D88" si="10">SUM(D89:D110)</f>
        <v>58606</v>
      </c>
    </row>
    <row r="89" spans="1:6">
      <c r="A89" s="147" t="s">
        <v>812</v>
      </c>
      <c r="B89" s="147" t="s">
        <v>3843</v>
      </c>
      <c r="C89" s="1" t="s">
        <v>3844</v>
      </c>
      <c r="D89" s="7">
        <v>2844</v>
      </c>
      <c r="F89" s="147" t="s">
        <v>2395</v>
      </c>
    </row>
    <row r="90" spans="1:6">
      <c r="A90" s="147" t="s">
        <v>813</v>
      </c>
      <c r="B90" s="147" t="s">
        <v>3845</v>
      </c>
      <c r="C90" s="1" t="s">
        <v>3846</v>
      </c>
      <c r="D90" s="7">
        <v>1654</v>
      </c>
      <c r="F90" s="147" t="s">
        <v>2395</v>
      </c>
    </row>
    <row r="91" spans="1:6">
      <c r="A91" s="147" t="s">
        <v>814</v>
      </c>
      <c r="B91" s="147" t="s">
        <v>1008</v>
      </c>
      <c r="C91" s="1" t="s">
        <v>3847</v>
      </c>
      <c r="D91" s="7">
        <v>2782</v>
      </c>
      <c r="F91" s="147" t="s">
        <v>2395</v>
      </c>
    </row>
    <row r="92" spans="1:6">
      <c r="A92" s="147" t="s">
        <v>815</v>
      </c>
      <c r="B92" s="147" t="s">
        <v>3848</v>
      </c>
      <c r="C92" s="1" t="s">
        <v>3849</v>
      </c>
      <c r="D92" s="7">
        <v>4648</v>
      </c>
      <c r="F92" s="147" t="s">
        <v>2395</v>
      </c>
    </row>
    <row r="93" spans="1:6">
      <c r="A93" s="147" t="s">
        <v>816</v>
      </c>
      <c r="B93" s="147" t="s">
        <v>3850</v>
      </c>
      <c r="C93" s="1" t="s">
        <v>3851</v>
      </c>
      <c r="D93" s="7">
        <v>3330</v>
      </c>
      <c r="F93" s="147" t="s">
        <v>2395</v>
      </c>
    </row>
    <row r="94" spans="1:6">
      <c r="A94" s="147" t="s">
        <v>826</v>
      </c>
      <c r="B94" s="147" t="s">
        <v>3852</v>
      </c>
      <c r="C94" s="1" t="s">
        <v>3853</v>
      </c>
      <c r="D94" s="7">
        <v>1488</v>
      </c>
      <c r="F94" s="147" t="s">
        <v>2395</v>
      </c>
    </row>
    <row r="95" spans="1:6">
      <c r="A95" s="147" t="s">
        <v>827</v>
      </c>
      <c r="B95" s="147" t="s">
        <v>3854</v>
      </c>
      <c r="C95" s="1" t="s">
        <v>3855</v>
      </c>
      <c r="D95" s="7">
        <v>3051</v>
      </c>
      <c r="F95" s="147" t="s">
        <v>2395</v>
      </c>
    </row>
    <row r="96" spans="1:6">
      <c r="A96" s="147" t="s">
        <v>828</v>
      </c>
      <c r="B96" s="147" t="s">
        <v>3856</v>
      </c>
      <c r="C96" s="1" t="s">
        <v>3857</v>
      </c>
      <c r="D96" s="7">
        <v>1846</v>
      </c>
      <c r="F96" s="147" t="s">
        <v>2395</v>
      </c>
    </row>
    <row r="97" spans="1:6">
      <c r="A97" s="147" t="s">
        <v>829</v>
      </c>
      <c r="B97" s="147" t="s">
        <v>3858</v>
      </c>
      <c r="C97" s="1" t="s">
        <v>3859</v>
      </c>
      <c r="D97" s="7">
        <v>4825</v>
      </c>
      <c r="F97" s="147" t="s">
        <v>2395</v>
      </c>
    </row>
    <row r="98" spans="1:6">
      <c r="A98" s="147" t="s">
        <v>830</v>
      </c>
      <c r="B98" s="147" t="s">
        <v>2908</v>
      </c>
      <c r="C98" s="1" t="s">
        <v>3860</v>
      </c>
      <c r="D98" s="7">
        <v>1673</v>
      </c>
      <c r="F98" s="147" t="s">
        <v>2395</v>
      </c>
    </row>
    <row r="99" spans="1:6">
      <c r="A99" s="147" t="s">
        <v>831</v>
      </c>
      <c r="B99" s="147" t="s">
        <v>3861</v>
      </c>
      <c r="C99" s="1" t="s">
        <v>3862</v>
      </c>
      <c r="D99" s="7">
        <v>1411</v>
      </c>
      <c r="F99" s="147" t="s">
        <v>2395</v>
      </c>
    </row>
    <row r="100" spans="1:6">
      <c r="A100" s="147" t="s">
        <v>832</v>
      </c>
      <c r="B100" s="147" t="s">
        <v>3863</v>
      </c>
      <c r="C100" s="1" t="s">
        <v>3864</v>
      </c>
      <c r="D100" s="7">
        <v>1684</v>
      </c>
      <c r="F100" s="147" t="s">
        <v>2395</v>
      </c>
    </row>
    <row r="101" spans="1:6">
      <c r="A101" s="147" t="s">
        <v>833</v>
      </c>
      <c r="B101" s="147" t="s">
        <v>3865</v>
      </c>
      <c r="C101" s="1" t="s">
        <v>3866</v>
      </c>
      <c r="D101" s="7">
        <v>4433</v>
      </c>
      <c r="F101" s="147" t="s">
        <v>2395</v>
      </c>
    </row>
    <row r="102" spans="1:6">
      <c r="A102" s="147" t="s">
        <v>834</v>
      </c>
      <c r="B102" s="147" t="s">
        <v>3867</v>
      </c>
      <c r="C102" s="1" t="s">
        <v>3868</v>
      </c>
      <c r="D102" s="7">
        <v>3058</v>
      </c>
      <c r="F102" s="147" t="s">
        <v>2395</v>
      </c>
    </row>
    <row r="103" spans="1:6">
      <c r="A103" s="147" t="s">
        <v>835</v>
      </c>
      <c r="B103" s="147" t="s">
        <v>502</v>
      </c>
      <c r="C103" s="1" t="s">
        <v>3869</v>
      </c>
      <c r="D103" s="7">
        <v>3039</v>
      </c>
      <c r="F103" s="147" t="s">
        <v>2395</v>
      </c>
    </row>
    <row r="104" spans="1:6">
      <c r="A104" s="147" t="s">
        <v>836</v>
      </c>
      <c r="B104" s="147" t="s">
        <v>3870</v>
      </c>
      <c r="C104" s="1" t="s">
        <v>3871</v>
      </c>
      <c r="D104" s="8">
        <v>1436</v>
      </c>
      <c r="F104" s="147" t="s">
        <v>2395</v>
      </c>
    </row>
    <row r="105" spans="1:6">
      <c r="A105" s="147" t="s">
        <v>837</v>
      </c>
      <c r="B105" s="147" t="s">
        <v>3872</v>
      </c>
      <c r="C105" s="1" t="s">
        <v>3873</v>
      </c>
      <c r="D105" s="8">
        <v>1544</v>
      </c>
      <c r="F105" s="147" t="s">
        <v>2395</v>
      </c>
    </row>
    <row r="106" spans="1:6">
      <c r="A106" s="147" t="s">
        <v>838</v>
      </c>
      <c r="B106" s="147" t="s">
        <v>3874</v>
      </c>
      <c r="C106" s="1" t="s">
        <v>3875</v>
      </c>
      <c r="D106" s="8">
        <v>2924</v>
      </c>
      <c r="F106" s="147" t="s">
        <v>2395</v>
      </c>
    </row>
    <row r="107" spans="1:6">
      <c r="A107" s="147" t="s">
        <v>840</v>
      </c>
      <c r="B107" s="147" t="s">
        <v>3876</v>
      </c>
      <c r="C107" s="1" t="s">
        <v>3877</v>
      </c>
      <c r="D107" s="8">
        <v>3377</v>
      </c>
      <c r="F107" s="147" t="s">
        <v>2395</v>
      </c>
    </row>
    <row r="108" spans="1:6">
      <c r="A108" s="147" t="s">
        <v>841</v>
      </c>
      <c r="B108" s="2" t="s">
        <v>3878</v>
      </c>
      <c r="C108" s="1" t="s">
        <v>3879</v>
      </c>
      <c r="D108" s="8">
        <v>2630</v>
      </c>
      <c r="F108" s="147" t="s">
        <v>2395</v>
      </c>
    </row>
    <row r="109" spans="1:6">
      <c r="A109" s="147" t="s">
        <v>878</v>
      </c>
      <c r="B109" s="147" t="s">
        <v>3880</v>
      </c>
      <c r="C109" s="1" t="s">
        <v>3881</v>
      </c>
      <c r="D109" s="8">
        <v>3267</v>
      </c>
      <c r="F109" s="147" t="s">
        <v>2395</v>
      </c>
    </row>
    <row r="110" spans="1:6">
      <c r="A110" s="147" t="s">
        <v>879</v>
      </c>
      <c r="B110" s="147" t="s">
        <v>3882</v>
      </c>
      <c r="C110" s="1" t="s">
        <v>3883</v>
      </c>
      <c r="D110" s="8">
        <v>1662</v>
      </c>
      <c r="F110" s="147" t="s">
        <v>2395</v>
      </c>
    </row>
    <row r="111" spans="1:6">
      <c r="A111" s="147"/>
      <c r="B111" s="147"/>
      <c r="D111" s="150"/>
      <c r="F111" s="147"/>
    </row>
    <row r="112" spans="1:6">
      <c r="A112" s="147" t="s">
        <v>3884</v>
      </c>
      <c r="D112" s="149">
        <f t="shared" ref="D112" si="11">SUM(D89:D110)</f>
        <v>58606</v>
      </c>
    </row>
    <row r="114" spans="1:6">
      <c r="A114" s="156" t="s">
        <v>3885</v>
      </c>
    </row>
    <row r="115" spans="1:6">
      <c r="A115" s="156"/>
    </row>
    <row r="116" spans="1:6">
      <c r="A116" s="156"/>
    </row>
    <row r="117" spans="1:6">
      <c r="D117" s="10" t="s">
        <v>285</v>
      </c>
      <c r="E117" s="16"/>
      <c r="F117" s="18" t="s">
        <v>1842</v>
      </c>
    </row>
    <row r="118" spans="1:6">
      <c r="A118" s="156"/>
      <c r="D118" s="148">
        <v>2016</v>
      </c>
      <c r="F118" s="18" t="s">
        <v>286</v>
      </c>
    </row>
    <row r="119" spans="1:6">
      <c r="A119" s="147" t="s">
        <v>3886</v>
      </c>
      <c r="D119" s="149">
        <f t="shared" ref="D119" si="12">SUM(D120:D131)</f>
        <v>59495</v>
      </c>
    </row>
    <row r="120" spans="1:6">
      <c r="A120" s="147" t="s">
        <v>812</v>
      </c>
      <c r="B120" s="147" t="s">
        <v>998</v>
      </c>
      <c r="C120" s="1" t="s">
        <v>3887</v>
      </c>
      <c r="D120" s="7">
        <v>4213</v>
      </c>
      <c r="F120" s="147" t="s">
        <v>3775</v>
      </c>
    </row>
    <row r="121" spans="1:6">
      <c r="A121" s="147" t="s">
        <v>813</v>
      </c>
      <c r="B121" s="147" t="s">
        <v>3888</v>
      </c>
      <c r="C121" s="1" t="s">
        <v>3889</v>
      </c>
      <c r="D121" s="7">
        <v>4596</v>
      </c>
      <c r="F121" s="147" t="s">
        <v>3775</v>
      </c>
    </row>
    <row r="122" spans="1:6">
      <c r="A122" s="147" t="s">
        <v>814</v>
      </c>
      <c r="B122" s="147" t="s">
        <v>3890</v>
      </c>
      <c r="C122" s="1" t="s">
        <v>3891</v>
      </c>
      <c r="D122" s="7">
        <v>5677</v>
      </c>
      <c r="F122" s="147" t="s">
        <v>3775</v>
      </c>
    </row>
    <row r="123" spans="1:6">
      <c r="A123" s="147" t="s">
        <v>815</v>
      </c>
      <c r="B123" s="147" t="s">
        <v>888</v>
      </c>
      <c r="C123" s="1" t="s">
        <v>3892</v>
      </c>
      <c r="D123" s="7">
        <v>4015</v>
      </c>
      <c r="F123" s="147" t="s">
        <v>3775</v>
      </c>
    </row>
    <row r="124" spans="1:6">
      <c r="A124" s="147" t="s">
        <v>816</v>
      </c>
      <c r="B124" s="147" t="s">
        <v>3893</v>
      </c>
      <c r="C124" s="1" t="s">
        <v>3894</v>
      </c>
      <c r="D124" s="7">
        <v>5654</v>
      </c>
      <c r="F124" s="147" t="s">
        <v>3775</v>
      </c>
    </row>
    <row r="125" spans="1:6">
      <c r="A125" s="147" t="s">
        <v>826</v>
      </c>
      <c r="B125" s="147" t="s">
        <v>3895</v>
      </c>
      <c r="C125" s="1" t="s">
        <v>3896</v>
      </c>
      <c r="D125" s="7">
        <v>4431</v>
      </c>
      <c r="F125" s="147" t="s">
        <v>3775</v>
      </c>
    </row>
    <row r="126" spans="1:6">
      <c r="A126" s="147" t="s">
        <v>827</v>
      </c>
      <c r="B126" s="147" t="s">
        <v>3897</v>
      </c>
      <c r="C126" s="1" t="s">
        <v>3898</v>
      </c>
      <c r="D126" s="7">
        <v>5970</v>
      </c>
      <c r="F126" s="147" t="s">
        <v>3775</v>
      </c>
    </row>
    <row r="127" spans="1:6">
      <c r="A127" s="147" t="s">
        <v>828</v>
      </c>
      <c r="B127" s="147" t="s">
        <v>3899</v>
      </c>
      <c r="C127" s="1" t="s">
        <v>3900</v>
      </c>
      <c r="D127" s="7">
        <v>6588</v>
      </c>
      <c r="F127" s="147" t="s">
        <v>3775</v>
      </c>
    </row>
    <row r="128" spans="1:6">
      <c r="A128" s="147" t="s">
        <v>829</v>
      </c>
      <c r="B128" s="147" t="s">
        <v>3901</v>
      </c>
      <c r="C128" s="1" t="s">
        <v>3902</v>
      </c>
      <c r="D128" s="7">
        <v>3633</v>
      </c>
      <c r="F128" s="147" t="s">
        <v>3775</v>
      </c>
    </row>
    <row r="129" spans="1:6">
      <c r="A129" s="147" t="s">
        <v>830</v>
      </c>
      <c r="B129" s="147" t="s">
        <v>3903</v>
      </c>
      <c r="C129" s="1" t="s">
        <v>3904</v>
      </c>
      <c r="D129" s="7">
        <v>4338</v>
      </c>
      <c r="F129" s="147" t="s">
        <v>3775</v>
      </c>
    </row>
    <row r="130" spans="1:6">
      <c r="A130" s="147" t="s">
        <v>831</v>
      </c>
      <c r="B130" s="147" t="s">
        <v>3880</v>
      </c>
      <c r="C130" s="1" t="s">
        <v>3905</v>
      </c>
      <c r="D130" s="7">
        <v>4360</v>
      </c>
      <c r="F130" s="147" t="s">
        <v>3775</v>
      </c>
    </row>
    <row r="131" spans="1:6">
      <c r="A131" s="210">
        <v>12</v>
      </c>
      <c r="B131" s="147" t="s">
        <v>3906</v>
      </c>
      <c r="C131" s="1" t="s">
        <v>3907</v>
      </c>
      <c r="D131" s="7">
        <v>6020</v>
      </c>
      <c r="F131" s="147" t="s">
        <v>3775</v>
      </c>
    </row>
    <row r="132" spans="1:6">
      <c r="D132" s="150"/>
    </row>
    <row r="133" spans="1:6">
      <c r="A133" s="147" t="s">
        <v>3840</v>
      </c>
      <c r="D133" s="149">
        <f t="shared" ref="D133" si="13">SUM(D120:D131)</f>
        <v>59495</v>
      </c>
    </row>
    <row r="134" spans="1:6">
      <c r="A134" s="147"/>
      <c r="B134" s="147"/>
      <c r="D134" s="211"/>
    </row>
    <row r="135" spans="1:6">
      <c r="A135" s="147" t="s">
        <v>3908</v>
      </c>
      <c r="B135" s="147"/>
      <c r="D135" s="211"/>
    </row>
    <row r="136" spans="1:6">
      <c r="A136" s="147"/>
      <c r="B136" s="147"/>
      <c r="D136" s="211"/>
    </row>
    <row r="137" spans="1:6">
      <c r="A137" s="147"/>
      <c r="B137" s="147"/>
      <c r="D137" s="211"/>
    </row>
    <row r="138" spans="1:6">
      <c r="D138" s="10" t="s">
        <v>285</v>
      </c>
      <c r="E138" s="16"/>
      <c r="F138" s="18" t="s">
        <v>1842</v>
      </c>
    </row>
    <row r="139" spans="1:6">
      <c r="A139" s="2"/>
      <c r="B139" s="2"/>
      <c r="D139" s="148">
        <v>2016</v>
      </c>
      <c r="F139" s="18" t="s">
        <v>286</v>
      </c>
    </row>
    <row r="140" spans="1:6">
      <c r="A140" s="147" t="s">
        <v>3909</v>
      </c>
      <c r="D140" s="149">
        <f t="shared" ref="D140" si="14">SUM(D141:D155)</f>
        <v>70542</v>
      </c>
    </row>
    <row r="141" spans="1:6">
      <c r="A141" s="147" t="s">
        <v>812</v>
      </c>
      <c r="B141" s="147" t="s">
        <v>3910</v>
      </c>
      <c r="C141" s="1" t="s">
        <v>3911</v>
      </c>
      <c r="D141" s="7">
        <v>4141</v>
      </c>
      <c r="F141" s="147" t="s">
        <v>3776</v>
      </c>
    </row>
    <row r="142" spans="1:6">
      <c r="A142" s="147" t="s">
        <v>813</v>
      </c>
      <c r="B142" s="147" t="s">
        <v>3912</v>
      </c>
      <c r="C142" s="1" t="s">
        <v>3913</v>
      </c>
      <c r="D142" s="7">
        <v>3914</v>
      </c>
      <c r="F142" s="147" t="s">
        <v>3776</v>
      </c>
    </row>
    <row r="143" spans="1:6">
      <c r="A143" s="147" t="s">
        <v>814</v>
      </c>
      <c r="B143" s="147" t="s">
        <v>3914</v>
      </c>
      <c r="C143" s="1" t="s">
        <v>3915</v>
      </c>
      <c r="D143" s="7">
        <v>6304</v>
      </c>
      <c r="F143" s="147" t="s">
        <v>3776</v>
      </c>
    </row>
    <row r="144" spans="1:6">
      <c r="A144" s="147" t="s">
        <v>815</v>
      </c>
      <c r="B144" s="147" t="s">
        <v>3916</v>
      </c>
      <c r="C144" s="1" t="s">
        <v>3917</v>
      </c>
      <c r="D144" s="7">
        <v>6826</v>
      </c>
      <c r="F144" s="147" t="s">
        <v>3776</v>
      </c>
    </row>
    <row r="145" spans="1:7">
      <c r="A145" s="147" t="s">
        <v>816</v>
      </c>
      <c r="B145" s="147" t="s">
        <v>3918</v>
      </c>
      <c r="C145" s="1" t="s">
        <v>3919</v>
      </c>
      <c r="D145" s="7">
        <v>6397</v>
      </c>
      <c r="F145" s="147" t="s">
        <v>3776</v>
      </c>
    </row>
    <row r="146" spans="1:7">
      <c r="A146" s="147" t="s">
        <v>826</v>
      </c>
      <c r="B146" s="147" t="s">
        <v>3920</v>
      </c>
      <c r="C146" s="1" t="s">
        <v>3921</v>
      </c>
      <c r="D146" s="7">
        <v>3407</v>
      </c>
      <c r="F146" s="147" t="s">
        <v>3776</v>
      </c>
    </row>
    <row r="147" spans="1:7">
      <c r="A147" s="147" t="s">
        <v>827</v>
      </c>
      <c r="B147" s="147" t="s">
        <v>3922</v>
      </c>
      <c r="C147" s="1" t="s">
        <v>3923</v>
      </c>
      <c r="D147" s="7">
        <v>5590</v>
      </c>
      <c r="F147" s="147" t="s">
        <v>3776</v>
      </c>
    </row>
    <row r="148" spans="1:7">
      <c r="A148" s="147" t="s">
        <v>828</v>
      </c>
      <c r="B148" s="147" t="s">
        <v>3924</v>
      </c>
      <c r="C148" s="1" t="s">
        <v>3925</v>
      </c>
      <c r="D148" s="7">
        <v>3844</v>
      </c>
      <c r="F148" s="147" t="s">
        <v>3776</v>
      </c>
    </row>
    <row r="149" spans="1:7">
      <c r="A149" s="147" t="s">
        <v>829</v>
      </c>
      <c r="B149" s="147" t="s">
        <v>3926</v>
      </c>
      <c r="C149" s="1" t="s">
        <v>3927</v>
      </c>
      <c r="D149" s="7">
        <v>3938</v>
      </c>
      <c r="F149" s="147" t="s">
        <v>3776</v>
      </c>
    </row>
    <row r="150" spans="1:7">
      <c r="A150" s="147" t="s">
        <v>830</v>
      </c>
      <c r="B150" s="147" t="s">
        <v>3928</v>
      </c>
      <c r="C150" s="1" t="s">
        <v>3929</v>
      </c>
      <c r="D150" s="7">
        <v>5738</v>
      </c>
      <c r="F150" s="147" t="s">
        <v>3776</v>
      </c>
    </row>
    <row r="151" spans="1:7">
      <c r="A151" s="147" t="s">
        <v>831</v>
      </c>
      <c r="B151" s="147" t="s">
        <v>3930</v>
      </c>
      <c r="C151" s="1" t="s">
        <v>3931</v>
      </c>
      <c r="D151" s="7">
        <v>4374</v>
      </c>
      <c r="F151" s="147" t="s">
        <v>3776</v>
      </c>
    </row>
    <row r="152" spans="1:7">
      <c r="A152" s="147" t="s">
        <v>832</v>
      </c>
      <c r="B152" s="147" t="s">
        <v>3932</v>
      </c>
      <c r="C152" s="1" t="s">
        <v>3933</v>
      </c>
      <c r="D152" s="7">
        <v>4057</v>
      </c>
      <c r="F152" s="147" t="s">
        <v>3776</v>
      </c>
    </row>
    <row r="153" spans="1:7">
      <c r="A153" s="209">
        <v>13</v>
      </c>
      <c r="B153" s="147" t="s">
        <v>3934</v>
      </c>
      <c r="C153" s="1" t="s">
        <v>3935</v>
      </c>
      <c r="D153" s="7">
        <v>3683</v>
      </c>
      <c r="F153" s="147" t="s">
        <v>3776</v>
      </c>
    </row>
    <row r="154" spans="1:7">
      <c r="A154" s="209">
        <v>14</v>
      </c>
      <c r="B154" s="147" t="s">
        <v>3936</v>
      </c>
      <c r="C154" s="1" t="s">
        <v>3937</v>
      </c>
      <c r="D154" s="7">
        <v>3965</v>
      </c>
      <c r="F154" s="147" t="s">
        <v>3776</v>
      </c>
    </row>
    <row r="155" spans="1:7">
      <c r="A155" s="210">
        <v>15</v>
      </c>
      <c r="B155" s="147" t="s">
        <v>3938</v>
      </c>
      <c r="C155" s="1" t="s">
        <v>3939</v>
      </c>
      <c r="D155" s="7">
        <v>4364</v>
      </c>
      <c r="F155" s="147" t="s">
        <v>3776</v>
      </c>
    </row>
    <row r="156" spans="1:7">
      <c r="B156" s="2"/>
      <c r="D156" s="3"/>
      <c r="E156" s="2"/>
      <c r="F156" s="2"/>
      <c r="G156" s="2"/>
    </row>
    <row r="157" spans="1:7">
      <c r="A157" s="147" t="s">
        <v>3940</v>
      </c>
      <c r="D157" s="149">
        <f t="shared" ref="D157" si="15">SUM(D141:D155)</f>
        <v>70542</v>
      </c>
    </row>
    <row r="158" spans="1:7">
      <c r="A158" s="147"/>
      <c r="B158" s="147"/>
      <c r="D158" s="211"/>
    </row>
    <row r="159" spans="1:7">
      <c r="A159" s="147" t="s">
        <v>3941</v>
      </c>
      <c r="B159" s="147"/>
      <c r="D159" s="211"/>
    </row>
    <row r="160" spans="1:7">
      <c r="A160" s="147"/>
      <c r="B160" s="147"/>
      <c r="D160" s="211"/>
    </row>
    <row r="161" spans="1:6">
      <c r="A161" s="147"/>
      <c r="B161" s="147"/>
      <c r="D161" s="211"/>
    </row>
    <row r="162" spans="1:6">
      <c r="D162" s="10" t="s">
        <v>285</v>
      </c>
      <c r="E162" s="16"/>
      <c r="F162" s="18" t="s">
        <v>1842</v>
      </c>
    </row>
    <row r="163" spans="1:6">
      <c r="D163" s="148">
        <v>2016</v>
      </c>
      <c r="F163" s="18" t="s">
        <v>286</v>
      </c>
    </row>
    <row r="164" spans="1:6">
      <c r="A164" s="147" t="s">
        <v>3942</v>
      </c>
      <c r="D164" s="149">
        <f t="shared" ref="D164" si="16">SUM(D165:D196)</f>
        <v>92064</v>
      </c>
    </row>
    <row r="165" spans="1:6">
      <c r="A165" s="147" t="s">
        <v>812</v>
      </c>
      <c r="B165" s="147" t="s">
        <v>3943</v>
      </c>
      <c r="C165" s="1" t="s">
        <v>3944</v>
      </c>
      <c r="D165" s="7">
        <v>2233</v>
      </c>
      <c r="F165" s="147" t="s">
        <v>3151</v>
      </c>
    </row>
    <row r="166" spans="1:6">
      <c r="A166" s="147" t="s">
        <v>813</v>
      </c>
      <c r="B166" s="147" t="s">
        <v>3945</v>
      </c>
      <c r="C166" s="1" t="s">
        <v>3946</v>
      </c>
      <c r="D166" s="7">
        <v>4394</v>
      </c>
      <c r="F166" s="147" t="s">
        <v>3151</v>
      </c>
    </row>
    <row r="167" spans="1:6">
      <c r="A167" s="147" t="s">
        <v>814</v>
      </c>
      <c r="B167" s="147" t="s">
        <v>2524</v>
      </c>
      <c r="C167" s="1" t="s">
        <v>3947</v>
      </c>
      <c r="D167" s="7">
        <v>2339</v>
      </c>
      <c r="F167" s="147" t="s">
        <v>3151</v>
      </c>
    </row>
    <row r="168" spans="1:6">
      <c r="A168" s="147" t="s">
        <v>815</v>
      </c>
      <c r="B168" s="147" t="s">
        <v>3948</v>
      </c>
      <c r="C168" s="1" t="s">
        <v>3949</v>
      </c>
      <c r="D168" s="8">
        <v>2089</v>
      </c>
      <c r="F168" s="147" t="s">
        <v>3151</v>
      </c>
    </row>
    <row r="169" spans="1:6">
      <c r="A169" s="147" t="s">
        <v>816</v>
      </c>
      <c r="B169" s="147" t="s">
        <v>3950</v>
      </c>
      <c r="C169" s="1" t="s">
        <v>3951</v>
      </c>
      <c r="D169" s="7">
        <v>2203</v>
      </c>
      <c r="F169" s="147" t="s">
        <v>3151</v>
      </c>
    </row>
    <row r="170" spans="1:6">
      <c r="A170" s="147" t="s">
        <v>826</v>
      </c>
      <c r="B170" s="147" t="s">
        <v>3952</v>
      </c>
      <c r="C170" s="1" t="s">
        <v>3953</v>
      </c>
      <c r="D170" s="7">
        <v>3818</v>
      </c>
      <c r="F170" s="147" t="s">
        <v>3151</v>
      </c>
    </row>
    <row r="171" spans="1:6">
      <c r="A171" s="147" t="s">
        <v>827</v>
      </c>
      <c r="B171" s="147" t="s">
        <v>3954</v>
      </c>
      <c r="C171" s="1" t="s">
        <v>3955</v>
      </c>
      <c r="D171" s="7">
        <v>2129</v>
      </c>
      <c r="F171" s="147" t="s">
        <v>3773</v>
      </c>
    </row>
    <row r="172" spans="1:6">
      <c r="A172" s="147" t="s">
        <v>828</v>
      </c>
      <c r="B172" s="147" t="s">
        <v>3956</v>
      </c>
      <c r="C172" s="1" t="s">
        <v>3957</v>
      </c>
      <c r="D172" s="7">
        <v>1920</v>
      </c>
      <c r="F172" s="147" t="s">
        <v>3776</v>
      </c>
    </row>
    <row r="173" spans="1:6">
      <c r="A173" s="147" t="s">
        <v>829</v>
      </c>
      <c r="B173" s="147" t="s">
        <v>3958</v>
      </c>
      <c r="C173" s="1" t="s">
        <v>3959</v>
      </c>
      <c r="D173" s="7">
        <v>1930</v>
      </c>
      <c r="F173" s="147" t="s">
        <v>3773</v>
      </c>
    </row>
    <row r="174" spans="1:6">
      <c r="A174" s="147" t="s">
        <v>830</v>
      </c>
      <c r="B174" s="147" t="s">
        <v>3960</v>
      </c>
      <c r="C174" s="1" t="s">
        <v>3961</v>
      </c>
      <c r="D174" s="7">
        <v>4257</v>
      </c>
      <c r="F174" s="147" t="s">
        <v>3773</v>
      </c>
    </row>
    <row r="175" spans="1:6">
      <c r="A175" s="147" t="s">
        <v>831</v>
      </c>
      <c r="B175" s="147" t="s">
        <v>3962</v>
      </c>
      <c r="C175" s="1" t="s">
        <v>3963</v>
      </c>
      <c r="D175" s="7">
        <v>4185</v>
      </c>
      <c r="F175" s="147" t="s">
        <v>3773</v>
      </c>
    </row>
    <row r="176" spans="1:6">
      <c r="A176" s="147" t="s">
        <v>832</v>
      </c>
      <c r="B176" s="147" t="s">
        <v>3964</v>
      </c>
      <c r="C176" s="1" t="s">
        <v>3965</v>
      </c>
      <c r="D176" s="7">
        <v>3862</v>
      </c>
      <c r="F176" s="147" t="s">
        <v>3773</v>
      </c>
    </row>
    <row r="177" spans="1:6">
      <c r="A177" s="147" t="s">
        <v>833</v>
      </c>
      <c r="B177" s="147" t="s">
        <v>3966</v>
      </c>
      <c r="C177" s="1" t="s">
        <v>3967</v>
      </c>
      <c r="D177" s="7">
        <v>3747</v>
      </c>
      <c r="F177" s="147" t="s">
        <v>3773</v>
      </c>
    </row>
    <row r="178" spans="1:6">
      <c r="A178" s="147" t="s">
        <v>834</v>
      </c>
      <c r="B178" s="147" t="s">
        <v>3968</v>
      </c>
      <c r="C178" s="1" t="s">
        <v>3969</v>
      </c>
      <c r="D178" s="8">
        <v>2215</v>
      </c>
      <c r="F178" s="147" t="s">
        <v>3151</v>
      </c>
    </row>
    <row r="179" spans="1:6">
      <c r="A179" s="147" t="s">
        <v>835</v>
      </c>
      <c r="B179" s="147" t="s">
        <v>3970</v>
      </c>
      <c r="C179" s="1" t="s">
        <v>3971</v>
      </c>
      <c r="D179" s="8">
        <v>2015</v>
      </c>
      <c r="F179" s="147" t="s">
        <v>3151</v>
      </c>
    </row>
    <row r="180" spans="1:6">
      <c r="A180" s="147" t="s">
        <v>836</v>
      </c>
      <c r="B180" s="147" t="s">
        <v>3972</v>
      </c>
      <c r="C180" s="1" t="s">
        <v>3973</v>
      </c>
      <c r="D180" s="7">
        <v>3324</v>
      </c>
      <c r="F180" s="147" t="s">
        <v>3151</v>
      </c>
    </row>
    <row r="181" spans="1:6">
      <c r="A181" s="147" t="s">
        <v>837</v>
      </c>
      <c r="B181" s="147" t="s">
        <v>3974</v>
      </c>
      <c r="C181" s="1" t="s">
        <v>3975</v>
      </c>
      <c r="D181" s="7">
        <v>3732</v>
      </c>
      <c r="F181" s="147" t="s">
        <v>3151</v>
      </c>
    </row>
    <row r="182" spans="1:6">
      <c r="A182" s="147" t="s">
        <v>838</v>
      </c>
      <c r="B182" s="147" t="s">
        <v>3976</v>
      </c>
      <c r="C182" s="1" t="s">
        <v>3977</v>
      </c>
      <c r="D182" s="7">
        <v>2214</v>
      </c>
      <c r="F182" s="147" t="s">
        <v>3151</v>
      </c>
    </row>
    <row r="183" spans="1:6">
      <c r="A183" s="147" t="s">
        <v>840</v>
      </c>
      <c r="B183" s="147" t="s">
        <v>3978</v>
      </c>
      <c r="C183" s="1" t="s">
        <v>3979</v>
      </c>
      <c r="D183" s="8">
        <v>2052</v>
      </c>
      <c r="F183" s="147" t="s">
        <v>3151</v>
      </c>
    </row>
    <row r="184" spans="1:6">
      <c r="A184" s="147" t="s">
        <v>841</v>
      </c>
      <c r="B184" s="147" t="s">
        <v>3980</v>
      </c>
      <c r="C184" s="1" t="s">
        <v>3981</v>
      </c>
      <c r="D184" s="8">
        <v>2152</v>
      </c>
      <c r="F184" s="147" t="s">
        <v>3777</v>
      </c>
    </row>
    <row r="185" spans="1:6">
      <c r="A185" s="147" t="s">
        <v>878</v>
      </c>
      <c r="B185" s="147" t="s">
        <v>3982</v>
      </c>
      <c r="C185" s="1" t="s">
        <v>3983</v>
      </c>
      <c r="D185" s="8">
        <v>2048</v>
      </c>
      <c r="F185" s="147" t="s">
        <v>3151</v>
      </c>
    </row>
    <row r="186" spans="1:6">
      <c r="A186" s="147" t="s">
        <v>879</v>
      </c>
      <c r="B186" s="147" t="s">
        <v>3984</v>
      </c>
      <c r="C186" s="1" t="s">
        <v>3985</v>
      </c>
      <c r="D186" s="8">
        <v>2007</v>
      </c>
      <c r="F186" s="147" t="s">
        <v>3151</v>
      </c>
    </row>
    <row r="187" spans="1:6">
      <c r="A187" s="147" t="s">
        <v>880</v>
      </c>
      <c r="B187" s="147" t="s">
        <v>3986</v>
      </c>
      <c r="C187" s="1" t="s">
        <v>3987</v>
      </c>
      <c r="D187" s="8">
        <v>4576</v>
      </c>
      <c r="F187" s="147" t="s">
        <v>3151</v>
      </c>
    </row>
    <row r="188" spans="1:6">
      <c r="A188" s="147" t="s">
        <v>721</v>
      </c>
      <c r="B188" s="147" t="s">
        <v>3988</v>
      </c>
      <c r="C188" s="1" t="s">
        <v>3989</v>
      </c>
      <c r="D188" s="8">
        <v>3601</v>
      </c>
      <c r="F188" s="147" t="s">
        <v>3151</v>
      </c>
    </row>
    <row r="189" spans="1:6">
      <c r="A189" s="147" t="s">
        <v>722</v>
      </c>
      <c r="B189" s="147" t="s">
        <v>3990</v>
      </c>
      <c r="C189" s="1" t="s">
        <v>3991</v>
      </c>
      <c r="D189" s="8">
        <v>4230</v>
      </c>
      <c r="F189" s="147" t="s">
        <v>3773</v>
      </c>
    </row>
    <row r="190" spans="1:6">
      <c r="A190" s="147" t="s">
        <v>723</v>
      </c>
      <c r="B190" s="147" t="s">
        <v>3992</v>
      </c>
      <c r="C190" s="1" t="s">
        <v>3993</v>
      </c>
      <c r="D190" s="8">
        <v>2370</v>
      </c>
      <c r="F190" s="147" t="s">
        <v>3776</v>
      </c>
    </row>
    <row r="191" spans="1:6">
      <c r="A191" s="147" t="s">
        <v>733</v>
      </c>
      <c r="B191" s="147" t="s">
        <v>3994</v>
      </c>
      <c r="C191" s="1" t="s">
        <v>3995</v>
      </c>
      <c r="D191" s="8">
        <v>1946</v>
      </c>
      <c r="F191" s="147" t="s">
        <v>2395</v>
      </c>
    </row>
    <row r="192" spans="1:6">
      <c r="A192" s="147" t="s">
        <v>734</v>
      </c>
      <c r="B192" s="147" t="s">
        <v>3996</v>
      </c>
      <c r="C192" s="1" t="s">
        <v>3997</v>
      </c>
      <c r="D192" s="8">
        <v>5836</v>
      </c>
      <c r="F192" s="147" t="s">
        <v>3151</v>
      </c>
    </row>
    <row r="193" spans="1:6">
      <c r="A193" s="147" t="s">
        <v>735</v>
      </c>
      <c r="B193" s="147" t="s">
        <v>3998</v>
      </c>
      <c r="C193" s="1" t="s">
        <v>3999</v>
      </c>
      <c r="D193" s="8">
        <v>2309</v>
      </c>
      <c r="F193" s="147" t="s">
        <v>3151</v>
      </c>
    </row>
    <row r="194" spans="1:6">
      <c r="A194" s="147" t="s">
        <v>736</v>
      </c>
      <c r="B194" s="147" t="s">
        <v>4000</v>
      </c>
      <c r="C194" s="1" t="s">
        <v>4001</v>
      </c>
      <c r="D194" s="8">
        <v>1913</v>
      </c>
      <c r="F194" s="147" t="s">
        <v>3151</v>
      </c>
    </row>
    <row r="195" spans="1:6">
      <c r="A195" s="147" t="s">
        <v>931</v>
      </c>
      <c r="B195" s="147" t="s">
        <v>4002</v>
      </c>
      <c r="C195" s="1" t="s">
        <v>4003</v>
      </c>
      <c r="D195" s="8">
        <v>2221</v>
      </c>
      <c r="F195" s="147" t="s">
        <v>3151</v>
      </c>
    </row>
    <row r="196" spans="1:6">
      <c r="A196" s="147" t="s">
        <v>932</v>
      </c>
      <c r="B196" s="147" t="s">
        <v>4004</v>
      </c>
      <c r="C196" s="1" t="s">
        <v>4005</v>
      </c>
      <c r="D196" s="8">
        <v>2197</v>
      </c>
      <c r="F196" s="147" t="s">
        <v>3151</v>
      </c>
    </row>
    <row r="197" spans="1:6">
      <c r="D197" s="150"/>
    </row>
    <row r="198" spans="1:6">
      <c r="A198" s="147" t="s">
        <v>3839</v>
      </c>
      <c r="D198" s="150">
        <f>D171+SUM(D173:D177)+D189</f>
        <v>24340</v>
      </c>
    </row>
    <row r="199" spans="1:6">
      <c r="A199" s="147" t="s">
        <v>3151</v>
      </c>
      <c r="D199" s="149">
        <f>SUM(D165:D170)+SUM(D178:D183)+SUM(D185:D188)+SUM(D192:D196)</f>
        <v>59336</v>
      </c>
    </row>
    <row r="200" spans="1:6">
      <c r="A200" s="147" t="s">
        <v>2395</v>
      </c>
      <c r="D200" s="149">
        <f>D191</f>
        <v>1946</v>
      </c>
    </row>
    <row r="201" spans="1:6">
      <c r="A201" s="147" t="s">
        <v>3940</v>
      </c>
      <c r="D201" s="149">
        <f>D172+D190</f>
        <v>4290</v>
      </c>
    </row>
    <row r="202" spans="1:6">
      <c r="A202" s="147" t="s">
        <v>4006</v>
      </c>
      <c r="D202" s="149">
        <f>D184</f>
        <v>2152</v>
      </c>
    </row>
    <row r="203" spans="1:6">
      <c r="A203" s="147"/>
      <c r="D203" s="149"/>
    </row>
    <row r="204" spans="1:6">
      <c r="A204" s="147" t="s">
        <v>4007</v>
      </c>
      <c r="D204" s="149"/>
    </row>
    <row r="205" spans="1:6">
      <c r="A205" s="147"/>
      <c r="B205" s="147"/>
      <c r="D205" s="211"/>
    </row>
    <row r="206" spans="1:6">
      <c r="A206" s="147"/>
      <c r="B206" s="147"/>
      <c r="D206" s="211"/>
    </row>
    <row r="207" spans="1:6">
      <c r="D207" s="10" t="s">
        <v>285</v>
      </c>
      <c r="E207" s="16"/>
      <c r="F207" s="18" t="s">
        <v>1842</v>
      </c>
    </row>
    <row r="208" spans="1:6">
      <c r="D208" s="148">
        <v>2016</v>
      </c>
      <c r="F208" s="18" t="s">
        <v>286</v>
      </c>
    </row>
    <row r="209" spans="1:7">
      <c r="A209" s="147" t="s">
        <v>4008</v>
      </c>
      <c r="D209" s="149">
        <f t="shared" ref="D209" si="17">SUM(D210:D221)</f>
        <v>75226</v>
      </c>
    </row>
    <row r="210" spans="1:7">
      <c r="A210" s="147" t="s">
        <v>812</v>
      </c>
      <c r="B210" s="147" t="s">
        <v>4009</v>
      </c>
      <c r="C210" s="1" t="s">
        <v>4010</v>
      </c>
      <c r="D210" s="7">
        <v>6559</v>
      </c>
      <c r="F210" s="147" t="s">
        <v>3777</v>
      </c>
    </row>
    <row r="211" spans="1:7">
      <c r="A211" s="147" t="s">
        <v>813</v>
      </c>
      <c r="B211" s="147" t="s">
        <v>4011</v>
      </c>
      <c r="C211" s="1" t="s">
        <v>4012</v>
      </c>
      <c r="D211" s="7">
        <v>6437</v>
      </c>
      <c r="F211" s="147" t="s">
        <v>3777</v>
      </c>
    </row>
    <row r="212" spans="1:7">
      <c r="A212" s="147" t="s">
        <v>814</v>
      </c>
      <c r="B212" s="147" t="s">
        <v>4013</v>
      </c>
      <c r="C212" s="1" t="s">
        <v>4014</v>
      </c>
      <c r="D212" s="7">
        <v>6788</v>
      </c>
      <c r="F212" s="147" t="s">
        <v>3777</v>
      </c>
    </row>
    <row r="213" spans="1:7">
      <c r="A213" s="147" t="s">
        <v>815</v>
      </c>
      <c r="B213" s="147" t="s">
        <v>4015</v>
      </c>
      <c r="C213" s="1" t="s">
        <v>4016</v>
      </c>
      <c r="D213" s="7">
        <v>6569</v>
      </c>
      <c r="F213" s="147" t="s">
        <v>3777</v>
      </c>
    </row>
    <row r="214" spans="1:7">
      <c r="A214" s="147" t="s">
        <v>816</v>
      </c>
      <c r="B214" s="147" t="s">
        <v>4017</v>
      </c>
      <c r="C214" s="1" t="s">
        <v>4018</v>
      </c>
      <c r="D214" s="7">
        <v>6424</v>
      </c>
      <c r="F214" s="147" t="s">
        <v>3777</v>
      </c>
    </row>
    <row r="215" spans="1:7">
      <c r="A215" s="147" t="s">
        <v>826</v>
      </c>
      <c r="B215" s="147" t="s">
        <v>4019</v>
      </c>
      <c r="C215" s="1" t="s">
        <v>4020</v>
      </c>
      <c r="D215" s="7">
        <v>6807</v>
      </c>
      <c r="F215" s="147" t="s">
        <v>3777</v>
      </c>
    </row>
    <row r="216" spans="1:7">
      <c r="A216" s="147" t="s">
        <v>827</v>
      </c>
      <c r="B216" s="147" t="s">
        <v>4021</v>
      </c>
      <c r="C216" s="1" t="s">
        <v>4022</v>
      </c>
      <c r="D216" s="7">
        <v>7591</v>
      </c>
      <c r="F216" s="147" t="s">
        <v>3777</v>
      </c>
    </row>
    <row r="217" spans="1:7">
      <c r="A217" s="147" t="s">
        <v>828</v>
      </c>
      <c r="B217" s="147" t="s">
        <v>4023</v>
      </c>
      <c r="C217" s="1" t="s">
        <v>4024</v>
      </c>
      <c r="D217" s="7">
        <v>2189</v>
      </c>
      <c r="F217" s="147" t="s">
        <v>3777</v>
      </c>
    </row>
    <row r="218" spans="1:7">
      <c r="A218" s="147" t="s">
        <v>829</v>
      </c>
      <c r="B218" s="147" t="s">
        <v>4025</v>
      </c>
      <c r="C218" s="1" t="s">
        <v>4026</v>
      </c>
      <c r="D218" s="7">
        <v>7246</v>
      </c>
      <c r="F218" s="147" t="s">
        <v>3777</v>
      </c>
    </row>
    <row r="219" spans="1:7">
      <c r="A219" s="147" t="s">
        <v>830</v>
      </c>
      <c r="B219" s="147" t="s">
        <v>4027</v>
      </c>
      <c r="C219" s="1" t="s">
        <v>4028</v>
      </c>
      <c r="D219" s="7">
        <v>7295</v>
      </c>
      <c r="F219" s="147" t="s">
        <v>3777</v>
      </c>
    </row>
    <row r="220" spans="1:7">
      <c r="A220" s="147" t="s">
        <v>831</v>
      </c>
      <c r="B220" s="147" t="s">
        <v>4029</v>
      </c>
      <c r="C220" s="1" t="s">
        <v>4030</v>
      </c>
      <c r="D220" s="7">
        <v>4277</v>
      </c>
      <c r="F220" s="147" t="s">
        <v>3777</v>
      </c>
    </row>
    <row r="221" spans="1:7">
      <c r="A221" s="147" t="s">
        <v>832</v>
      </c>
      <c r="B221" s="147" t="s">
        <v>4031</v>
      </c>
      <c r="C221" s="1" t="s">
        <v>4032</v>
      </c>
      <c r="D221" s="7">
        <v>7044</v>
      </c>
      <c r="F221" s="147" t="s">
        <v>3777</v>
      </c>
    </row>
    <row r="222" spans="1:7">
      <c r="D222" s="150"/>
    </row>
    <row r="223" spans="1:7">
      <c r="A223" s="147" t="s">
        <v>4006</v>
      </c>
      <c r="D223" s="149">
        <f t="shared" ref="D223" si="18">SUM(D210:D221)</f>
        <v>75226</v>
      </c>
    </row>
    <row r="224" spans="1:7">
      <c r="B224" s="2"/>
      <c r="C224" s="2"/>
      <c r="D224" s="2"/>
      <c r="E224" s="2"/>
      <c r="F224" s="2"/>
      <c r="G224" s="2"/>
    </row>
    <row r="225" spans="1:7">
      <c r="A225" s="148" t="s">
        <v>4033</v>
      </c>
      <c r="B225" s="2"/>
      <c r="C225" s="2"/>
      <c r="D225" s="2"/>
      <c r="E225" s="2"/>
      <c r="F225" s="2"/>
      <c r="G225" s="2"/>
    </row>
  </sheetData>
  <printOptions gridLinesSet="0"/>
  <pageMargins left="0.78740157480314965" right="0" top="0.51181102362204722" bottom="0.51181102362204722" header="0.51181102362204722" footer="0.51181102362204722"/>
  <pageSetup paperSize="9" scale="62" orientation="portrait" horizontalDpi="300" verticalDpi="300" r:id="rId1"/>
  <headerFooter alignWithMargins="0">
    <oddFooter>&amp;C&amp;"Times New Roman,Regular"&amp;8&amp;P of &amp;N</oddFooter>
  </headerFooter>
  <rowBreaks count="6" manualBreakCount="6">
    <brk id="44" max="10" man="1"/>
    <brk id="84" max="10" man="1"/>
    <brk id="115" max="10" man="1"/>
    <brk id="136" max="10" man="1"/>
    <brk id="160" max="10" man="1"/>
    <brk id="205" max="10" man="1"/>
  </rowBreaks>
  <ignoredErrors>
    <ignoredError sqref="D3:D28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51"/>
  <sheetViews>
    <sheetView showGridLines="0" zoomScaleNormal="100" workbookViewId="0"/>
  </sheetViews>
  <sheetFormatPr defaultColWidth="12.59765625" defaultRowHeight="14.5"/>
  <cols>
    <col min="1" max="1" width="4.8984375" style="430" customWidth="1"/>
    <col min="2" max="2" width="35.8984375" style="430" customWidth="1"/>
    <col min="3" max="3" width="11.59765625" style="430" customWidth="1"/>
    <col min="4" max="4" width="10" style="430" customWidth="1"/>
    <col min="5" max="5" width="2.296875" style="430" customWidth="1"/>
    <col min="6" max="6" width="37.09765625" style="430" customWidth="1"/>
    <col min="7" max="16384" width="12.59765625" style="430"/>
  </cols>
  <sheetData>
    <row r="1" spans="1:6">
      <c r="A1" s="429" t="s">
        <v>9176</v>
      </c>
      <c r="D1" s="431">
        <v>2016</v>
      </c>
    </row>
    <row r="3" spans="1:6">
      <c r="A3" s="429" t="s">
        <v>9308</v>
      </c>
      <c r="D3" s="432">
        <f>SUM(D23:D43)</f>
        <v>182183</v>
      </c>
    </row>
    <row r="5" spans="1:6">
      <c r="A5" s="429" t="s">
        <v>9309</v>
      </c>
      <c r="D5" s="432">
        <f>D24+D28+D31+D37</f>
        <v>36256</v>
      </c>
      <c r="F5" s="429" t="s">
        <v>9310</v>
      </c>
    </row>
    <row r="6" spans="1:6" ht="15" thickBot="1">
      <c r="A6" s="429"/>
      <c r="D6" s="432">
        <f>HARROW!D8</f>
        <v>37466</v>
      </c>
      <c r="F6" s="429" t="s">
        <v>9311</v>
      </c>
    </row>
    <row r="7" spans="1:6" ht="15" thickBot="1">
      <c r="A7" s="429"/>
      <c r="D7" s="433">
        <f t="shared" ref="D7" si="0">D5+D6</f>
        <v>73722</v>
      </c>
      <c r="F7" s="429"/>
    </row>
    <row r="8" spans="1:6">
      <c r="A8" s="429"/>
      <c r="D8" s="434"/>
      <c r="F8" s="429"/>
    </row>
    <row r="9" spans="1:6">
      <c r="A9" s="429" t="s">
        <v>9312</v>
      </c>
      <c r="D9" s="434">
        <f>D32+D36</f>
        <v>18368</v>
      </c>
      <c r="F9" s="429" t="s">
        <v>9310</v>
      </c>
    </row>
    <row r="10" spans="1:6" ht="15" thickBot="1">
      <c r="A10" s="429"/>
      <c r="D10" s="434">
        <f>WESTMINSTER!D11</f>
        <v>54296</v>
      </c>
      <c r="F10" s="429" t="s">
        <v>9313</v>
      </c>
    </row>
    <row r="11" spans="1:6" ht="15" thickBot="1">
      <c r="A11" s="429"/>
      <c r="D11" s="433">
        <f t="shared" ref="D11" si="1">D9+D10</f>
        <v>72664</v>
      </c>
      <c r="F11" s="429"/>
    </row>
    <row r="12" spans="1:6">
      <c r="A12" s="429"/>
      <c r="D12" s="432"/>
      <c r="F12" s="429"/>
    </row>
    <row r="13" spans="1:6">
      <c r="A13" s="435" t="s">
        <v>9314</v>
      </c>
      <c r="D13" s="432">
        <f>D23+D34+D35+D39+D40+D42</f>
        <v>54648</v>
      </c>
      <c r="F13" s="429" t="s">
        <v>9310</v>
      </c>
    </row>
    <row r="14" spans="1:6" ht="15" thickBot="1">
      <c r="A14" s="435"/>
      <c r="D14" s="436">
        <f>HARROW!D16</f>
        <v>22867</v>
      </c>
      <c r="F14" s="429" t="s">
        <v>9311</v>
      </c>
    </row>
    <row r="15" spans="1:6" ht="15" thickBot="1">
      <c r="A15" s="435"/>
      <c r="D15" s="433">
        <f t="shared" ref="D15" si="2">D13+D14</f>
        <v>77515</v>
      </c>
      <c r="F15" s="429"/>
    </row>
    <row r="16" spans="1:6">
      <c r="A16" s="435"/>
      <c r="D16" s="434"/>
      <c r="F16" s="429"/>
    </row>
    <row r="17" spans="1:11">
      <c r="A17" s="429" t="s">
        <v>9315</v>
      </c>
      <c r="D17" s="432">
        <f>SUM(D25:D27)+D29+D30+D33+D38+D41+D43</f>
        <v>72911</v>
      </c>
      <c r="F17" s="429" t="s">
        <v>9310</v>
      </c>
    </row>
    <row r="18" spans="1:11" ht="15" thickBot="1">
      <c r="A18" s="429"/>
      <c r="D18" s="432">
        <f>HAMMERSMITH!D12</f>
        <v>4930</v>
      </c>
      <c r="F18" s="429" t="s">
        <v>9316</v>
      </c>
    </row>
    <row r="19" spans="1:11" ht="15" thickBot="1">
      <c r="A19" s="429"/>
      <c r="D19" s="433">
        <f t="shared" ref="D19" si="3">D17+D18</f>
        <v>77841</v>
      </c>
      <c r="F19" s="429"/>
    </row>
    <row r="20" spans="1:11">
      <c r="A20" s="435"/>
      <c r="D20" s="432"/>
      <c r="F20" s="429"/>
    </row>
    <row r="21" spans="1:11">
      <c r="A21" s="429" t="s">
        <v>1041</v>
      </c>
      <c r="D21" s="432">
        <f>D5+D9+D13+D17</f>
        <v>182183</v>
      </c>
    </row>
    <row r="22" spans="1:11">
      <c r="D22" s="437"/>
    </row>
    <row r="23" spans="1:11">
      <c r="A23" s="429" t="s">
        <v>812</v>
      </c>
      <c r="B23" s="429" t="s">
        <v>9317</v>
      </c>
      <c r="C23" s="292" t="s">
        <v>9318</v>
      </c>
      <c r="D23" s="316">
        <v>8991</v>
      </c>
      <c r="F23" s="429" t="s">
        <v>9314</v>
      </c>
      <c r="I23" s="292"/>
      <c r="K23" s="292"/>
    </row>
    <row r="24" spans="1:11">
      <c r="A24" s="429" t="s">
        <v>813</v>
      </c>
      <c r="B24" s="429" t="s">
        <v>9319</v>
      </c>
      <c r="C24" s="292" t="s">
        <v>9320</v>
      </c>
      <c r="D24" s="316">
        <v>9956</v>
      </c>
      <c r="F24" s="429" t="s">
        <v>9309</v>
      </c>
      <c r="I24" s="292"/>
      <c r="K24" s="292"/>
    </row>
    <row r="25" spans="1:11">
      <c r="A25" s="429" t="s">
        <v>814</v>
      </c>
      <c r="B25" s="429" t="s">
        <v>9321</v>
      </c>
      <c r="C25" s="292" t="s">
        <v>9322</v>
      </c>
      <c r="D25" s="316">
        <v>7552</v>
      </c>
      <c r="F25" s="429" t="s">
        <v>9315</v>
      </c>
      <c r="I25" s="292"/>
      <c r="K25" s="292"/>
    </row>
    <row r="26" spans="1:11">
      <c r="A26" s="429" t="s">
        <v>815</v>
      </c>
      <c r="B26" s="429" t="s">
        <v>9323</v>
      </c>
      <c r="C26" s="292" t="s">
        <v>9324</v>
      </c>
      <c r="D26" s="316">
        <v>7699</v>
      </c>
      <c r="F26" s="429" t="s">
        <v>9315</v>
      </c>
      <c r="I26" s="292"/>
      <c r="K26" s="292"/>
    </row>
    <row r="27" spans="1:11">
      <c r="A27" s="429" t="s">
        <v>816</v>
      </c>
      <c r="B27" s="429" t="s">
        <v>9325</v>
      </c>
      <c r="C27" s="292" t="s">
        <v>9326</v>
      </c>
      <c r="D27" s="316">
        <v>8250</v>
      </c>
      <c r="F27" s="429" t="s">
        <v>9315</v>
      </c>
      <c r="I27" s="292"/>
      <c r="K27" s="292"/>
    </row>
    <row r="28" spans="1:11">
      <c r="A28" s="429" t="s">
        <v>826</v>
      </c>
      <c r="B28" s="429" t="s">
        <v>9327</v>
      </c>
      <c r="C28" s="292" t="s">
        <v>9328</v>
      </c>
      <c r="D28" s="316">
        <v>8035</v>
      </c>
      <c r="F28" s="429" t="s">
        <v>9309</v>
      </c>
      <c r="I28" s="292"/>
      <c r="K28" s="292"/>
    </row>
    <row r="29" spans="1:11">
      <c r="A29" s="429" t="s">
        <v>827</v>
      </c>
      <c r="B29" s="429" t="s">
        <v>9329</v>
      </c>
      <c r="C29" s="292" t="s">
        <v>9330</v>
      </c>
      <c r="D29" s="316">
        <v>8447</v>
      </c>
      <c r="F29" s="429" t="s">
        <v>9315</v>
      </c>
      <c r="I29" s="292"/>
      <c r="K29" s="292"/>
    </row>
    <row r="30" spans="1:11">
      <c r="A30" s="429" t="s">
        <v>828</v>
      </c>
      <c r="B30" s="429" t="s">
        <v>9331</v>
      </c>
      <c r="C30" s="292" t="s">
        <v>9332</v>
      </c>
      <c r="D30" s="316">
        <v>7766</v>
      </c>
      <c r="F30" s="429" t="s">
        <v>9315</v>
      </c>
      <c r="I30" s="292"/>
      <c r="K30" s="292"/>
    </row>
    <row r="31" spans="1:11">
      <c r="A31" s="429" t="s">
        <v>829</v>
      </c>
      <c r="B31" s="429" t="s">
        <v>6610</v>
      </c>
      <c r="C31" s="292" t="s">
        <v>9333</v>
      </c>
      <c r="D31" s="316">
        <v>8568</v>
      </c>
      <c r="F31" s="429" t="s">
        <v>9309</v>
      </c>
      <c r="I31" s="292"/>
      <c r="K31" s="292"/>
    </row>
    <row r="32" spans="1:11">
      <c r="A32" s="429" t="s">
        <v>830</v>
      </c>
      <c r="B32" s="429" t="s">
        <v>9334</v>
      </c>
      <c r="C32" s="292" t="s">
        <v>9335</v>
      </c>
      <c r="D32" s="316">
        <v>9522</v>
      </c>
      <c r="F32" s="429" t="s">
        <v>9312</v>
      </c>
      <c r="I32" s="292"/>
      <c r="K32" s="292"/>
    </row>
    <row r="33" spans="1:11">
      <c r="A33" s="429" t="s">
        <v>831</v>
      </c>
      <c r="B33" s="429" t="s">
        <v>9336</v>
      </c>
      <c r="C33" s="292" t="s">
        <v>9337</v>
      </c>
      <c r="D33" s="316">
        <v>8228</v>
      </c>
      <c r="F33" s="429" t="s">
        <v>9315</v>
      </c>
      <c r="I33" s="292"/>
      <c r="K33" s="292"/>
    </row>
    <row r="34" spans="1:11">
      <c r="A34" s="429" t="s">
        <v>832</v>
      </c>
      <c r="B34" s="429" t="s">
        <v>9338</v>
      </c>
      <c r="C34" s="292" t="s">
        <v>9339</v>
      </c>
      <c r="D34" s="316">
        <v>8919</v>
      </c>
      <c r="F34" s="429" t="s">
        <v>9314</v>
      </c>
      <c r="I34" s="292"/>
      <c r="K34" s="292"/>
    </row>
    <row r="35" spans="1:11">
      <c r="A35" s="429" t="s">
        <v>833</v>
      </c>
      <c r="B35" s="429" t="s">
        <v>625</v>
      </c>
      <c r="C35" s="292" t="s">
        <v>9340</v>
      </c>
      <c r="D35" s="316">
        <v>9237</v>
      </c>
      <c r="F35" s="429" t="s">
        <v>9314</v>
      </c>
      <c r="I35" s="292"/>
      <c r="K35" s="292"/>
    </row>
    <row r="36" spans="1:11">
      <c r="A36" s="429" t="s">
        <v>834</v>
      </c>
      <c r="B36" s="429" t="s">
        <v>6873</v>
      </c>
      <c r="C36" s="292" t="s">
        <v>9341</v>
      </c>
      <c r="D36" s="316">
        <v>8846</v>
      </c>
      <c r="F36" s="429" t="s">
        <v>9312</v>
      </c>
      <c r="I36" s="292"/>
      <c r="K36" s="292"/>
    </row>
    <row r="37" spans="1:11">
      <c r="A37" s="429" t="s">
        <v>835</v>
      </c>
      <c r="B37" s="429" t="s">
        <v>9342</v>
      </c>
      <c r="C37" s="292" t="s">
        <v>9343</v>
      </c>
      <c r="D37" s="316">
        <v>9697</v>
      </c>
      <c r="F37" s="429" t="s">
        <v>9309</v>
      </c>
      <c r="I37" s="292"/>
      <c r="K37" s="292"/>
    </row>
    <row r="38" spans="1:11">
      <c r="A38" s="429" t="s">
        <v>836</v>
      </c>
      <c r="B38" s="429" t="s">
        <v>9344</v>
      </c>
      <c r="C38" s="292" t="s">
        <v>9345</v>
      </c>
      <c r="D38" s="316">
        <v>9896</v>
      </c>
      <c r="F38" s="429" t="s">
        <v>9315</v>
      </c>
      <c r="I38" s="292"/>
      <c r="K38" s="292"/>
    </row>
    <row r="39" spans="1:11">
      <c r="A39" s="429" t="s">
        <v>837</v>
      </c>
      <c r="B39" s="429" t="s">
        <v>9346</v>
      </c>
      <c r="C39" s="292" t="s">
        <v>9347</v>
      </c>
      <c r="D39" s="316">
        <v>8874</v>
      </c>
      <c r="F39" s="429" t="s">
        <v>9314</v>
      </c>
      <c r="I39" s="292"/>
      <c r="K39" s="292"/>
    </row>
    <row r="40" spans="1:11">
      <c r="A40" s="429" t="s">
        <v>838</v>
      </c>
      <c r="B40" s="429" t="s">
        <v>9348</v>
      </c>
      <c r="C40" s="292" t="s">
        <v>9349</v>
      </c>
      <c r="D40" s="316">
        <v>9540</v>
      </c>
      <c r="F40" s="435" t="s">
        <v>9314</v>
      </c>
      <c r="I40" s="292"/>
      <c r="K40" s="292"/>
    </row>
    <row r="41" spans="1:11">
      <c r="A41" s="429" t="s">
        <v>840</v>
      </c>
      <c r="B41" s="429" t="s">
        <v>9350</v>
      </c>
      <c r="C41" s="292" t="s">
        <v>9351</v>
      </c>
      <c r="D41" s="316">
        <v>7633</v>
      </c>
      <c r="F41" s="429" t="s">
        <v>9315</v>
      </c>
      <c r="I41" s="292"/>
      <c r="K41" s="292"/>
    </row>
    <row r="42" spans="1:11">
      <c r="A42" s="429" t="s">
        <v>841</v>
      </c>
      <c r="B42" s="429" t="s">
        <v>9352</v>
      </c>
      <c r="C42" s="292" t="s">
        <v>9353</v>
      </c>
      <c r="D42" s="316">
        <v>9087</v>
      </c>
      <c r="F42" s="435" t="s">
        <v>9314</v>
      </c>
      <c r="I42" s="292"/>
      <c r="K42" s="292"/>
    </row>
    <row r="43" spans="1:11">
      <c r="A43" s="429" t="s">
        <v>878</v>
      </c>
      <c r="B43" s="429" t="s">
        <v>9354</v>
      </c>
      <c r="C43" s="292" t="s">
        <v>9355</v>
      </c>
      <c r="D43" s="316">
        <v>7440</v>
      </c>
      <c r="F43" s="429" t="s">
        <v>9315</v>
      </c>
      <c r="I43" s="292"/>
      <c r="K43" s="292"/>
    </row>
    <row r="44" spans="1:11">
      <c r="A44" s="429"/>
      <c r="B44" s="429"/>
      <c r="C44" s="429"/>
      <c r="D44" s="432"/>
      <c r="F44" s="429"/>
    </row>
    <row r="45" spans="1:11">
      <c r="A45" s="429" t="s">
        <v>9356</v>
      </c>
      <c r="B45" s="429"/>
      <c r="C45" s="429"/>
      <c r="D45" s="432"/>
      <c r="F45" s="429"/>
    </row>
    <row r="46" spans="1:11">
      <c r="A46" s="438"/>
      <c r="B46" s="429"/>
      <c r="C46" s="429"/>
      <c r="D46" s="432"/>
      <c r="F46" s="429"/>
    </row>
    <row r="47" spans="1:11">
      <c r="A47" s="429"/>
      <c r="B47" s="429"/>
      <c r="C47" s="429"/>
      <c r="D47" s="432"/>
      <c r="F47" s="429"/>
    </row>
    <row r="48" spans="1:11">
      <c r="A48" s="429"/>
      <c r="B48" s="429"/>
      <c r="C48" s="429"/>
      <c r="D48" s="432"/>
      <c r="F48" s="429"/>
    </row>
    <row r="49" spans="1:6">
      <c r="A49" s="429"/>
      <c r="B49" s="429"/>
      <c r="C49" s="429"/>
      <c r="D49" s="432"/>
      <c r="F49" s="429"/>
    </row>
    <row r="50" spans="1:6">
      <c r="A50" s="429"/>
      <c r="B50" s="429"/>
      <c r="C50" s="429"/>
      <c r="D50" s="432"/>
      <c r="F50" s="429"/>
    </row>
    <row r="51" spans="1:6">
      <c r="A51" s="429"/>
      <c r="B51" s="429"/>
      <c r="C51" s="429"/>
      <c r="D51" s="432"/>
      <c r="F51" s="429"/>
    </row>
  </sheetData>
  <printOptions gridLinesSet="0"/>
  <pageMargins left="0.78740157480314965" right="0" top="0.51181102362204722" bottom="0.51181102362204722" header="0.51181102362204722" footer="0.51181102362204722"/>
  <pageSetup paperSize="9" scale="71" orientation="portrait" horizontalDpi="300" verticalDpi="300" r:id="rId1"/>
  <headerFooter alignWithMargins="0">
    <oddFooter>&amp;C&amp;"Times New Roman,Regular"&amp;8&amp;P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81</vt:i4>
      </vt:variant>
      <vt:variant>
        <vt:lpstr>Named Ranges</vt:lpstr>
      </vt:variant>
      <vt:variant>
        <vt:i4>161</vt:i4>
      </vt:variant>
    </vt:vector>
  </HeadingPairs>
  <TitlesOfParts>
    <vt:vector size="242" baseType="lpstr">
      <vt:lpstr>REGIONS</vt:lpstr>
      <vt:lpstr>CONSTITUENCIES</vt:lpstr>
      <vt:lpstr>"AVON"</vt:lpstr>
      <vt:lpstr>BARKING</vt:lpstr>
      <vt:lpstr>BARNET</vt:lpstr>
      <vt:lpstr>BEDFORDSHIRE</vt:lpstr>
      <vt:lpstr>"BERKSHIRE"</vt:lpstr>
      <vt:lpstr>BEXLEY</vt:lpstr>
      <vt:lpstr>BRENT</vt:lpstr>
      <vt:lpstr>BROMLEY</vt:lpstr>
      <vt:lpstr>BUCKINGHAMSHIRE</vt:lpstr>
      <vt:lpstr>CAMBRIDGESHIRE</vt:lpstr>
      <vt:lpstr>CAMDEN</vt:lpstr>
      <vt:lpstr>CHESHIRE</vt:lpstr>
      <vt:lpstr>CITY OF LONDON</vt:lpstr>
      <vt:lpstr>"CLEVELAND"</vt:lpstr>
      <vt:lpstr>CORNWALL</vt:lpstr>
      <vt:lpstr>CROYDON</vt:lpstr>
      <vt:lpstr>CUMBRIA</vt:lpstr>
      <vt:lpstr>DERBYSHIRE</vt:lpstr>
      <vt:lpstr>DEVON</vt:lpstr>
      <vt:lpstr>DORSET</vt:lpstr>
      <vt:lpstr>DURHAM</vt:lpstr>
      <vt:lpstr>EALING</vt:lpstr>
      <vt:lpstr>EAST SUSSEX</vt:lpstr>
      <vt:lpstr>ENFIELD</vt:lpstr>
      <vt:lpstr>ESSEX</vt:lpstr>
      <vt:lpstr>GLOUCESTERSHIRE</vt:lpstr>
      <vt:lpstr>GREATER MANCHESTER</vt:lpstr>
      <vt:lpstr>GREENWICH</vt:lpstr>
      <vt:lpstr>HACKNEY</vt:lpstr>
      <vt:lpstr>HAMMERSMITH</vt:lpstr>
      <vt:lpstr>HAMPSHIRE</vt:lpstr>
      <vt:lpstr>HARINGEY</vt:lpstr>
      <vt:lpstr>HARROW</vt:lpstr>
      <vt:lpstr>HAVERING</vt:lpstr>
      <vt:lpstr>HEREFORDSHIRE</vt:lpstr>
      <vt:lpstr>HERTFORDSHIRE</vt:lpstr>
      <vt:lpstr>HILLINGDON</vt:lpstr>
      <vt:lpstr>HOUNSLOW</vt:lpstr>
      <vt:lpstr>"HUMBERSIDE"</vt:lpstr>
      <vt:lpstr>ISLE OF WIGHT</vt:lpstr>
      <vt:lpstr>ISLINGTON</vt:lpstr>
      <vt:lpstr>KENSINGTON</vt:lpstr>
      <vt:lpstr>KENT</vt:lpstr>
      <vt:lpstr>KINGSTON</vt:lpstr>
      <vt:lpstr>LAMBETH</vt:lpstr>
      <vt:lpstr>LANCASHIRE</vt:lpstr>
      <vt:lpstr>LEICESTERSHIRE</vt:lpstr>
      <vt:lpstr>LEWISHAM</vt:lpstr>
      <vt:lpstr>LINCOLNSHIRE</vt:lpstr>
      <vt:lpstr>MERSEYSIDE</vt:lpstr>
      <vt:lpstr>MERTON</vt:lpstr>
      <vt:lpstr>NEWHAM</vt:lpstr>
      <vt:lpstr>NORFOLK</vt:lpstr>
      <vt:lpstr>NORTH YORKSHIRE</vt:lpstr>
      <vt:lpstr>NORTHAMPTONSHIRE</vt:lpstr>
      <vt:lpstr>NORTHUMBERLAND</vt:lpstr>
      <vt:lpstr>NOTTINGHAMSHIRE</vt:lpstr>
      <vt:lpstr>OXFORDSHIRE</vt:lpstr>
      <vt:lpstr>REDBRIDGE</vt:lpstr>
      <vt:lpstr>RICHMOND</vt:lpstr>
      <vt:lpstr>SHROPSHIRE &amp; TELFORD &amp; WREKIN </vt:lpstr>
      <vt:lpstr>SOMERSET</vt:lpstr>
      <vt:lpstr>SOUTH YORKSHIRE</vt:lpstr>
      <vt:lpstr>SOUTHWARK</vt:lpstr>
      <vt:lpstr>STAFFORDSHIRE</vt:lpstr>
      <vt:lpstr>SUFFOLK</vt:lpstr>
      <vt:lpstr>SURREY</vt:lpstr>
      <vt:lpstr>SUTTON</vt:lpstr>
      <vt:lpstr>TOWER HAMLETS</vt:lpstr>
      <vt:lpstr>TYNE &amp; WEAR</vt:lpstr>
      <vt:lpstr>WALTHAM FOREST</vt:lpstr>
      <vt:lpstr>WANDSWORTH</vt:lpstr>
      <vt:lpstr>WARWICKSHIRE</vt:lpstr>
      <vt:lpstr>WEST MIDLANDS</vt:lpstr>
      <vt:lpstr>WEST SUSSEX</vt:lpstr>
      <vt:lpstr>WEST YORKSHIRE</vt:lpstr>
      <vt:lpstr>WESTMINSTER</vt:lpstr>
      <vt:lpstr>WILTSHIRE</vt:lpstr>
      <vt:lpstr>WORCESTERSHIRE</vt:lpstr>
      <vt:lpstr>'"BERKSHIRE"'!Print_Area</vt:lpstr>
      <vt:lpstr>'"HUMBERSIDE"'!Print_Area</vt:lpstr>
      <vt:lpstr>BARKING!Print_Area</vt:lpstr>
      <vt:lpstr>BARNET!Print_Area</vt:lpstr>
      <vt:lpstr>BEDFORDSHIRE!Print_Area</vt:lpstr>
      <vt:lpstr>BEXLEY!Print_Area</vt:lpstr>
      <vt:lpstr>BRENT!Print_Area</vt:lpstr>
      <vt:lpstr>BROMLEY!Print_Area</vt:lpstr>
      <vt:lpstr>BUCKINGHAMSHIRE!Print_Area</vt:lpstr>
      <vt:lpstr>CAMBRIDGESHIRE!Print_Area</vt:lpstr>
      <vt:lpstr>CAMDEN!Print_Area</vt:lpstr>
      <vt:lpstr>CHESHIRE!Print_Area</vt:lpstr>
      <vt:lpstr>'CITY OF LONDON'!Print_Area</vt:lpstr>
      <vt:lpstr>CONSTITUENCIES!Print_Area</vt:lpstr>
      <vt:lpstr>CROYDON!Print_Area</vt:lpstr>
      <vt:lpstr>CUMBRIA!Print_Area</vt:lpstr>
      <vt:lpstr>DERBYSHIRE!Print_Area</vt:lpstr>
      <vt:lpstr>DEVON!Print_Area</vt:lpstr>
      <vt:lpstr>DORSET!Print_Area</vt:lpstr>
      <vt:lpstr>EALING!Print_Area</vt:lpstr>
      <vt:lpstr>'EAST SUSSEX'!Print_Area</vt:lpstr>
      <vt:lpstr>ENFIELD!Print_Area</vt:lpstr>
      <vt:lpstr>ESSEX!Print_Area</vt:lpstr>
      <vt:lpstr>GLOUCESTERSHIRE!Print_Area</vt:lpstr>
      <vt:lpstr>'GREATER MANCHESTER'!Print_Area</vt:lpstr>
      <vt:lpstr>GREENWICH!Print_Area</vt:lpstr>
      <vt:lpstr>HACKNEY!Print_Area</vt:lpstr>
      <vt:lpstr>HAMMERSMITH!Print_Area</vt:lpstr>
      <vt:lpstr>HAMPSHIRE!Print_Area</vt:lpstr>
      <vt:lpstr>HARINGEY!Print_Area</vt:lpstr>
      <vt:lpstr>HARROW!Print_Area</vt:lpstr>
      <vt:lpstr>HAVERING!Print_Area</vt:lpstr>
      <vt:lpstr>HEREFORDSHIRE!Print_Area</vt:lpstr>
      <vt:lpstr>HERTFORDSHIRE!Print_Area</vt:lpstr>
      <vt:lpstr>HILLINGDON!Print_Area</vt:lpstr>
      <vt:lpstr>HOUNSLOW!Print_Area</vt:lpstr>
      <vt:lpstr>'ISLE OF WIGHT'!Print_Area</vt:lpstr>
      <vt:lpstr>ISLINGTON!Print_Area</vt:lpstr>
      <vt:lpstr>KENSINGTON!Print_Area</vt:lpstr>
      <vt:lpstr>KENT!Print_Area</vt:lpstr>
      <vt:lpstr>KINGSTON!Print_Area</vt:lpstr>
      <vt:lpstr>LAMBETH!Print_Area</vt:lpstr>
      <vt:lpstr>LANCASHIRE!Print_Area</vt:lpstr>
      <vt:lpstr>LEICESTERSHIRE!Print_Area</vt:lpstr>
      <vt:lpstr>LEWISHAM!Print_Area</vt:lpstr>
      <vt:lpstr>LINCOLNSHIRE!Print_Area</vt:lpstr>
      <vt:lpstr>MERSEYSIDE!Print_Area</vt:lpstr>
      <vt:lpstr>MERTON!Print_Area</vt:lpstr>
      <vt:lpstr>NEWHAM!Print_Area</vt:lpstr>
      <vt:lpstr>NORFOLK!Print_Area</vt:lpstr>
      <vt:lpstr>'NORTH YORKSHIRE'!Print_Area</vt:lpstr>
      <vt:lpstr>NORTHAMPTONSHIRE!Print_Area</vt:lpstr>
      <vt:lpstr>NORTHUMBERLAND!Print_Area</vt:lpstr>
      <vt:lpstr>NOTTINGHAMSHIRE!Print_Area</vt:lpstr>
      <vt:lpstr>OXFORDSHIRE!Print_Area</vt:lpstr>
      <vt:lpstr>REDBRIDGE!Print_Area</vt:lpstr>
      <vt:lpstr>REGIONS!Print_Area</vt:lpstr>
      <vt:lpstr>RICHMOND!Print_Area</vt:lpstr>
      <vt:lpstr>'SHROPSHIRE &amp; TELFORD &amp; WREKIN '!Print_Area</vt:lpstr>
      <vt:lpstr>SOMERSET!Print_Area</vt:lpstr>
      <vt:lpstr>'SOUTH YORKSHIRE'!Print_Area</vt:lpstr>
      <vt:lpstr>SOUTHWARK!Print_Area</vt:lpstr>
      <vt:lpstr>STAFFORDSHIRE!Print_Area</vt:lpstr>
      <vt:lpstr>SUFFOLK!Print_Area</vt:lpstr>
      <vt:lpstr>SURREY!Print_Area</vt:lpstr>
      <vt:lpstr>SUTTON!Print_Area</vt:lpstr>
      <vt:lpstr>'TOWER HAMLETS'!Print_Area</vt:lpstr>
      <vt:lpstr>'TYNE &amp; WEAR'!Print_Area</vt:lpstr>
      <vt:lpstr>'WALTHAM FOREST'!Print_Area</vt:lpstr>
      <vt:lpstr>WANDSWORTH!Print_Area</vt:lpstr>
      <vt:lpstr>WARWICKSHIRE!Print_Area</vt:lpstr>
      <vt:lpstr>'WEST MIDLANDS'!Print_Area</vt:lpstr>
      <vt:lpstr>'WEST SUSSEX'!Print_Area</vt:lpstr>
      <vt:lpstr>'WEST YORKSHIRE'!Print_Area</vt:lpstr>
      <vt:lpstr>WESTMINSTER!Print_Area</vt:lpstr>
      <vt:lpstr>WILTSHIRE!Print_Area</vt:lpstr>
      <vt:lpstr>WORCESTERSHIRE!Print_Area</vt:lpstr>
      <vt:lpstr>'"AVON"'!Print_Area_MI</vt:lpstr>
      <vt:lpstr>'"BERKSHIRE"'!Print_Area_MI</vt:lpstr>
      <vt:lpstr>'"CLEVELAND"'!Print_Area_MI</vt:lpstr>
      <vt:lpstr>'"HUMBERSIDE"'!Print_Area_MI</vt:lpstr>
      <vt:lpstr>BARKING!Print_Area_MI</vt:lpstr>
      <vt:lpstr>BARNET!Print_Area_MI</vt:lpstr>
      <vt:lpstr>BEDFORDSHIRE!Print_Area_MI</vt:lpstr>
      <vt:lpstr>BEXLEY!Print_Area_MI</vt:lpstr>
      <vt:lpstr>BRENT!Print_Area_MI</vt:lpstr>
      <vt:lpstr>BROMLEY!Print_Area_MI</vt:lpstr>
      <vt:lpstr>BUCKINGHAMSHIRE!Print_Area_MI</vt:lpstr>
      <vt:lpstr>CAMBRIDGESHIRE!Print_Area_MI</vt:lpstr>
      <vt:lpstr>CAMDEN!Print_Area_MI</vt:lpstr>
      <vt:lpstr>CHESHIRE!Print_Area_MI</vt:lpstr>
      <vt:lpstr>'CITY OF LONDON'!Print_Area_MI</vt:lpstr>
      <vt:lpstr>CORNWALL!Print_Area_MI</vt:lpstr>
      <vt:lpstr>CROYDON!Print_Area_MI</vt:lpstr>
      <vt:lpstr>CUMBRIA!Print_Area_MI</vt:lpstr>
      <vt:lpstr>DERBYSHIRE!Print_Area_MI</vt:lpstr>
      <vt:lpstr>DEVON!Print_Area_MI</vt:lpstr>
      <vt:lpstr>DORSET!Print_Area_MI</vt:lpstr>
      <vt:lpstr>DURHAM!Print_Area_MI</vt:lpstr>
      <vt:lpstr>EALING!Print_Area_MI</vt:lpstr>
      <vt:lpstr>'EAST SUSSEX'!Print_Area_MI</vt:lpstr>
      <vt:lpstr>ENFIELD!Print_Area_MI</vt:lpstr>
      <vt:lpstr>ESSEX!Print_Area_MI</vt:lpstr>
      <vt:lpstr>GLOUCESTERSHIRE!Print_Area_MI</vt:lpstr>
      <vt:lpstr>'GREATER MANCHESTER'!Print_Area_MI</vt:lpstr>
      <vt:lpstr>GREENWICH!Print_Area_MI</vt:lpstr>
      <vt:lpstr>HACKNEY!Print_Area_MI</vt:lpstr>
      <vt:lpstr>HAMMERSMITH!Print_Area_MI</vt:lpstr>
      <vt:lpstr>HAMPSHIRE!Print_Area_MI</vt:lpstr>
      <vt:lpstr>HARINGEY!Print_Area_MI</vt:lpstr>
      <vt:lpstr>HARROW!Print_Area_MI</vt:lpstr>
      <vt:lpstr>HAVERING!Print_Area_MI</vt:lpstr>
      <vt:lpstr>HEREFORDSHIRE!Print_Area_MI</vt:lpstr>
      <vt:lpstr>HERTFORDSHIRE!Print_Area_MI</vt:lpstr>
      <vt:lpstr>HILLINGDON!Print_Area_MI</vt:lpstr>
      <vt:lpstr>HOUNSLOW!Print_Area_MI</vt:lpstr>
      <vt:lpstr>'ISLE OF WIGHT'!Print_Area_MI</vt:lpstr>
      <vt:lpstr>ISLINGTON!Print_Area_MI</vt:lpstr>
      <vt:lpstr>KENSINGTON!Print_Area_MI</vt:lpstr>
      <vt:lpstr>KENT!Print_Area_MI</vt:lpstr>
      <vt:lpstr>KINGSTON!Print_Area_MI</vt:lpstr>
      <vt:lpstr>LAMBETH!Print_Area_MI</vt:lpstr>
      <vt:lpstr>LANCASHIRE!Print_Area_MI</vt:lpstr>
      <vt:lpstr>LEICESTERSHIRE!Print_Area_MI</vt:lpstr>
      <vt:lpstr>LEWISHAM!Print_Area_MI</vt:lpstr>
      <vt:lpstr>LINCOLNSHIRE!Print_Area_MI</vt:lpstr>
      <vt:lpstr>MERSEYSIDE!Print_Area_MI</vt:lpstr>
      <vt:lpstr>MERTON!Print_Area_MI</vt:lpstr>
      <vt:lpstr>NEWHAM!Print_Area_MI</vt:lpstr>
      <vt:lpstr>NORFOLK!Print_Area_MI</vt:lpstr>
      <vt:lpstr>'NORTH YORKSHIRE'!Print_Area_MI</vt:lpstr>
      <vt:lpstr>NORTHAMPTONSHIRE!Print_Area_MI</vt:lpstr>
      <vt:lpstr>NORTHUMBERLAND!Print_Area_MI</vt:lpstr>
      <vt:lpstr>NOTTINGHAMSHIRE!Print_Area_MI</vt:lpstr>
      <vt:lpstr>OXFORDSHIRE!Print_Area_MI</vt:lpstr>
      <vt:lpstr>REDBRIDGE!Print_Area_MI</vt:lpstr>
      <vt:lpstr>REGIONS!Print_Area_MI</vt:lpstr>
      <vt:lpstr>RICHMOND!Print_Area_MI</vt:lpstr>
      <vt:lpstr>'SHROPSHIRE &amp; TELFORD &amp; WREKIN '!Print_Area_MI</vt:lpstr>
      <vt:lpstr>SOMERSET!Print_Area_MI</vt:lpstr>
      <vt:lpstr>'SOUTH YORKSHIRE'!Print_Area_MI</vt:lpstr>
      <vt:lpstr>SOUTHWARK!Print_Area_MI</vt:lpstr>
      <vt:lpstr>STAFFORDSHIRE!Print_Area_MI</vt:lpstr>
      <vt:lpstr>SUFFOLK!Print_Area_MI</vt:lpstr>
      <vt:lpstr>SURREY!Print_Area_MI</vt:lpstr>
      <vt:lpstr>SUTTON!Print_Area_MI</vt:lpstr>
      <vt:lpstr>'TOWER HAMLETS'!Print_Area_MI</vt:lpstr>
      <vt:lpstr>'TYNE &amp; WEAR'!Print_Area_MI</vt:lpstr>
      <vt:lpstr>'WALTHAM FOREST'!Print_Area_MI</vt:lpstr>
      <vt:lpstr>WANDSWORTH!Print_Area_MI</vt:lpstr>
      <vt:lpstr>WARWICKSHIRE!Print_Area_MI</vt:lpstr>
      <vt:lpstr>'WEST MIDLANDS'!Print_Area_MI</vt:lpstr>
      <vt:lpstr>'WEST SUSSEX'!Print_Area_MI</vt:lpstr>
      <vt:lpstr>'WEST YORKSHIRE'!Print_Area_MI</vt:lpstr>
      <vt:lpstr>WESTMINSTER!Print_Area_MI</vt:lpstr>
      <vt:lpstr>WILTSHIRE!Print_Area_MI</vt:lpstr>
      <vt:lpstr>WORCESTERSHIRE!Print_Area_MI</vt:lpstr>
      <vt:lpstr>CONSTITUENCIES!Print_Titles</vt:lpstr>
      <vt:lpstr>REGIONS!Print_Titles</vt:lpstr>
      <vt:lpstr>CONSTITUENCIES!Print_Titles_MI</vt:lpstr>
      <vt:lpstr>REGIONS!Print_Titles_MI</vt:lpstr>
    </vt:vector>
  </TitlesOfParts>
  <Company>DCA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gtessier</dc:creator>
  <cp:lastModifiedBy>Gerald Tessier</cp:lastModifiedBy>
  <cp:lastPrinted>2016-04-25T11:49:45Z</cp:lastPrinted>
  <dcterms:created xsi:type="dcterms:W3CDTF">2009-03-26T15:03:04Z</dcterms:created>
  <dcterms:modified xsi:type="dcterms:W3CDTF">2016-09-07T12:27:24Z</dcterms:modified>
</cp:coreProperties>
</file>